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9\5.Проекты закупок\Проскурина Наталья\1.5 Готово\19VP1303_апрель_СНС_ПИР_Зп\Публикация\"/>
    </mc:Choice>
  </mc:AlternateContent>
  <bookViews>
    <workbookView xWindow="1215" yWindow="915" windowWidth="10710" windowHeight="9240" tabRatio="871" activeTab="8"/>
  </bookViews>
  <sheets>
    <sheet name="С С Р" sheetId="74" r:id="rId1"/>
    <sheet name="Т.с." sheetId="62" r:id="rId2"/>
    <sheet name="Геол, экол, геод" sheetId="63" r:id="rId3"/>
    <sheet name="Археолог" sheetId="79" r:id="rId4"/>
    <sheet name="ООС+Тр" sheetId="70" r:id="rId5"/>
    <sheet name="ПОЖ" sheetId="71" r:id="rId6"/>
    <sheet name="РДП" sheetId="80" r:id="rId7"/>
    <sheet name="СОГЛ" sheetId="72" r:id="rId8"/>
    <sheet name="авт надзор" sheetId="78" r:id="rId9"/>
  </sheets>
  <definedNames>
    <definedName name="_xlnm.Print_Titles" localSheetId="1">Т.с.!$14:$14</definedName>
    <definedName name="_xlnm.Print_Area" localSheetId="8">'авт надзор'!$A$1:$F$36</definedName>
    <definedName name="_xlnm.Print_Area" localSheetId="3">Археолог!$A$1:$H$69</definedName>
    <definedName name="_xlnm.Print_Area" localSheetId="2">'Геол, экол, геод'!$A$1:$G$63</definedName>
    <definedName name="_xlnm.Print_Area" localSheetId="4">'ООС+Тр'!$A$1:$H$79</definedName>
    <definedName name="_xlnm.Print_Area" localSheetId="5">ПОЖ!$A$1:$H$40</definedName>
    <definedName name="_xlnm.Print_Area" localSheetId="6">РДП!$A$1:$H$36</definedName>
    <definedName name="_xlnm.Print_Area" localSheetId="0">'С С Р'!$A$1:$G$48</definedName>
    <definedName name="_xlnm.Print_Area" localSheetId="7">СОГЛ!$A$1:$G$32</definedName>
    <definedName name="_xlnm.Print_Area" localSheetId="1">Т.с.!$A$1:$H$100</definedName>
  </definedNames>
  <calcPr calcId="162913"/>
</workbook>
</file>

<file path=xl/calcChain.xml><?xml version="1.0" encoding="utf-8"?>
<calcChain xmlns="http://schemas.openxmlformats.org/spreadsheetml/2006/main">
  <c r="C75" i="62" l="1"/>
  <c r="H22" i="62"/>
  <c r="G22" i="62"/>
  <c r="H59" i="62"/>
  <c r="D34" i="62"/>
  <c r="H34" i="62" s="1"/>
  <c r="E31" i="62"/>
  <c r="C29" i="62"/>
  <c r="D29" i="62" s="1"/>
  <c r="G34" i="62" l="1"/>
  <c r="H29" i="62"/>
  <c r="G29" i="62"/>
  <c r="D51" i="62" l="1"/>
  <c r="H51" i="62" s="1"/>
  <c r="G51" i="62" l="1"/>
  <c r="C24" i="62" l="1"/>
  <c r="D24" i="62" s="1"/>
  <c r="H25" i="62" l="1"/>
  <c r="G25" i="62"/>
  <c r="C17" i="62" l="1"/>
  <c r="D24" i="74"/>
  <c r="D17" i="62" l="1"/>
  <c r="H23" i="62" s="1"/>
  <c r="C55" i="62"/>
  <c r="D55" i="62" s="1"/>
  <c r="H21" i="62"/>
  <c r="G21" i="62"/>
  <c r="G23" i="62" l="1"/>
  <c r="G55" i="62"/>
  <c r="H55" i="62"/>
  <c r="C43" i="62" l="1"/>
  <c r="D47" i="62" l="1"/>
  <c r="G48" i="62" s="1"/>
  <c r="D43" i="62"/>
  <c r="D39" i="62"/>
  <c r="H39" i="62" s="1"/>
  <c r="G39" i="62" l="1"/>
  <c r="H44" i="62"/>
  <c r="G44" i="62"/>
  <c r="H48" i="62"/>
  <c r="D22" i="70" l="1"/>
  <c r="A7" i="80" l="1"/>
  <c r="F15" i="78" l="1"/>
  <c r="D17" i="80"/>
  <c r="H17" i="80" s="1"/>
  <c r="D13" i="80"/>
  <c r="H13" i="80" s="1"/>
  <c r="H21" i="80" s="1"/>
  <c r="G22" i="80" l="1"/>
  <c r="H22" i="80"/>
  <c r="G17" i="80"/>
  <c r="G13" i="80"/>
  <c r="H23" i="80" l="1"/>
  <c r="G23" i="80"/>
  <c r="C76" i="62" l="1"/>
  <c r="C22" i="70" l="1"/>
  <c r="C14" i="70"/>
  <c r="C15" i="70"/>
  <c r="C17" i="70"/>
  <c r="U15" i="70" l="1"/>
  <c r="U14" i="70"/>
  <c r="T15" i="70"/>
  <c r="T14" i="70"/>
  <c r="R15" i="70"/>
  <c r="R14" i="70"/>
  <c r="Q15" i="70"/>
  <c r="Q14" i="70"/>
  <c r="C61" i="70" l="1"/>
  <c r="C60" i="70"/>
  <c r="C58" i="70"/>
  <c r="E17" i="70"/>
  <c r="E15" i="70"/>
  <c r="E22" i="70"/>
  <c r="H15" i="70"/>
  <c r="G15" i="70"/>
  <c r="H14" i="70"/>
  <c r="G14" i="70"/>
  <c r="E14" i="70"/>
  <c r="L35" i="72" l="1"/>
  <c r="C77" i="62" l="1"/>
  <c r="C65" i="62" s="1"/>
  <c r="F14" i="63"/>
  <c r="C67" i="62" l="1"/>
  <c r="C66" i="62"/>
  <c r="F81" i="62"/>
  <c r="F83" i="62"/>
  <c r="F79" i="62"/>
  <c r="F80" i="62"/>
  <c r="E8" i="79"/>
  <c r="F82" i="62"/>
  <c r="D65" i="62" l="1"/>
  <c r="H65" i="62" s="1"/>
  <c r="H72" i="62" s="1"/>
  <c r="C10" i="79"/>
  <c r="C11" i="79" s="1"/>
  <c r="F35" i="79" s="1"/>
  <c r="D17" i="79"/>
  <c r="D15" i="79"/>
  <c r="A4" i="79"/>
  <c r="G65" i="62" l="1"/>
  <c r="D18" i="74"/>
  <c r="I14" i="78"/>
  <c r="E19" i="78" l="1"/>
  <c r="F19" i="78"/>
  <c r="D30" i="74" s="1"/>
  <c r="G30" i="74" s="1"/>
  <c r="D15" i="74" l="1"/>
  <c r="H14" i="78"/>
  <c r="D19" i="71"/>
  <c r="H60" i="62"/>
  <c r="D17" i="74" s="1"/>
  <c r="G60" i="62"/>
  <c r="J122" i="79"/>
  <c r="J75" i="79"/>
  <c r="H48" i="79"/>
  <c r="G48" i="79"/>
  <c r="H47" i="79"/>
  <c r="G47" i="79"/>
  <c r="F44" i="79"/>
  <c r="H44" i="79" s="1"/>
  <c r="H41" i="79"/>
  <c r="G41" i="79"/>
  <c r="F38" i="79"/>
  <c r="G38" i="79" s="1"/>
  <c r="G35" i="79"/>
  <c r="H23" i="79"/>
  <c r="G23" i="79"/>
  <c r="H22" i="79"/>
  <c r="G22" i="79"/>
  <c r="J21" i="79"/>
  <c r="H20" i="79"/>
  <c r="G20" i="79"/>
  <c r="H19" i="79"/>
  <c r="G19" i="79"/>
  <c r="G17" i="79"/>
  <c r="G15" i="79"/>
  <c r="H15" i="79"/>
  <c r="G44" i="79" l="1"/>
  <c r="H17" i="79"/>
  <c r="H35" i="79"/>
  <c r="H38" i="79"/>
  <c r="H56" i="70" l="1"/>
  <c r="G56" i="70"/>
  <c r="H55" i="70"/>
  <c r="G55" i="70"/>
  <c r="H16" i="70" l="1"/>
  <c r="F54" i="70"/>
  <c r="H53" i="70" s="1"/>
  <c r="F52" i="70"/>
  <c r="H51" i="70" s="1"/>
  <c r="G51" i="70"/>
  <c r="F50" i="70"/>
  <c r="H49" i="70" s="1"/>
  <c r="H47" i="70"/>
  <c r="G47" i="70"/>
  <c r="H45" i="70"/>
  <c r="G45" i="70"/>
  <c r="H41" i="70"/>
  <c r="H42" i="70" s="1"/>
  <c r="G41" i="70"/>
  <c r="F38" i="70"/>
  <c r="H38" i="70" s="1"/>
  <c r="H39" i="70" s="1"/>
  <c r="H37" i="70"/>
  <c r="G37" i="70"/>
  <c r="H35" i="70"/>
  <c r="G36" i="70" s="1"/>
  <c r="G35" i="70"/>
  <c r="H34" i="70"/>
  <c r="G34" i="70"/>
  <c r="H29" i="70"/>
  <c r="G29" i="70"/>
  <c r="B29" i="70"/>
  <c r="H28" i="70"/>
  <c r="G28" i="70"/>
  <c r="B28" i="70"/>
  <c r="H27" i="70"/>
  <c r="G27" i="70"/>
  <c r="B27" i="70"/>
  <c r="H25" i="70"/>
  <c r="G25" i="70"/>
  <c r="H23" i="70"/>
  <c r="G23" i="70"/>
  <c r="H22" i="70"/>
  <c r="G22" i="70"/>
  <c r="H20" i="70"/>
  <c r="G20" i="70"/>
  <c r="H19" i="70"/>
  <c r="G19" i="70"/>
  <c r="H18" i="70"/>
  <c r="G18" i="70"/>
  <c r="H17" i="70"/>
  <c r="G17" i="70"/>
  <c r="G38" i="70"/>
  <c r="H36" i="70"/>
  <c r="A9" i="72"/>
  <c r="A9" i="71"/>
  <c r="A9" i="70"/>
  <c r="A7" i="63"/>
  <c r="A8" i="62"/>
  <c r="G53" i="70"/>
  <c r="G24" i="74"/>
  <c r="G42" i="70" l="1"/>
  <c r="G30" i="70"/>
  <c r="G32" i="70" s="1"/>
  <c r="G49" i="70"/>
  <c r="G39" i="70"/>
  <c r="H32" i="70"/>
  <c r="H31" i="70"/>
  <c r="G31" i="70"/>
  <c r="H33" i="70" l="1"/>
  <c r="G33" i="70"/>
  <c r="H54" i="79"/>
  <c r="C8" i="79"/>
  <c r="D29" i="79" s="1"/>
  <c r="G54" i="79"/>
  <c r="F21" i="63"/>
  <c r="F23" i="63" s="1"/>
  <c r="G23" i="63" s="1"/>
  <c r="G24" i="63" s="1"/>
  <c r="G25" i="63" s="1"/>
  <c r="G26" i="63" s="1"/>
  <c r="F21" i="70"/>
  <c r="F48" i="70" l="1"/>
  <c r="G21" i="70"/>
  <c r="H21" i="70"/>
  <c r="D32" i="79"/>
  <c r="F50" i="79"/>
  <c r="F26" i="79"/>
  <c r="F24" i="79"/>
  <c r="F51" i="79"/>
  <c r="F49" i="79"/>
  <c r="F25" i="79"/>
  <c r="I32" i="79"/>
  <c r="Q30" i="79"/>
  <c r="I29" i="79"/>
  <c r="Q36" i="79"/>
  <c r="K108" i="79"/>
  <c r="R75" i="79"/>
  <c r="F16" i="63"/>
  <c r="G16" i="63" s="1"/>
  <c r="G17" i="63" s="1"/>
  <c r="G18" i="63" s="1"/>
  <c r="G19" i="63" s="1"/>
  <c r="F29" i="63"/>
  <c r="F31" i="63" s="1"/>
  <c r="G31" i="63" s="1"/>
  <c r="G32" i="63" s="1"/>
  <c r="G33" i="63" s="1"/>
  <c r="G79" i="62"/>
  <c r="H79" i="62"/>
  <c r="G35" i="63" l="1"/>
  <c r="D11" i="74" s="1"/>
  <c r="G48" i="70"/>
  <c r="H48" i="70"/>
  <c r="H57" i="70" s="1"/>
  <c r="G25" i="79"/>
  <c r="H25" i="79"/>
  <c r="G51" i="79"/>
  <c r="H51" i="79"/>
  <c r="G26" i="79"/>
  <c r="H26" i="79"/>
  <c r="H29" i="79"/>
  <c r="G29" i="79"/>
  <c r="G49" i="79"/>
  <c r="H49" i="79"/>
  <c r="G24" i="79"/>
  <c r="H24" i="79"/>
  <c r="G50" i="79"/>
  <c r="H50" i="79"/>
  <c r="H32" i="79"/>
  <c r="G32" i="79"/>
  <c r="D19" i="74"/>
  <c r="G17" i="74"/>
  <c r="D16" i="74"/>
  <c r="H19" i="71"/>
  <c r="D20" i="71" s="1"/>
  <c r="H80" i="62"/>
  <c r="G80" i="62"/>
  <c r="H27" i="79" l="1"/>
  <c r="G36" i="63"/>
  <c r="G37" i="63" s="1"/>
  <c r="H58" i="70"/>
  <c r="H59" i="70" s="1"/>
  <c r="G58" i="70"/>
  <c r="G20" i="71"/>
  <c r="H20" i="71"/>
  <c r="H21" i="71" s="1"/>
  <c r="D22" i="74" s="1"/>
  <c r="H52" i="79"/>
  <c r="G18" i="74"/>
  <c r="G19" i="74" s="1"/>
  <c r="G15" i="74"/>
  <c r="G16" i="74" s="1"/>
  <c r="G19" i="71"/>
  <c r="G11" i="74"/>
  <c r="G81" i="62"/>
  <c r="H81" i="62"/>
  <c r="H53" i="79" l="1"/>
  <c r="H55" i="79" s="1"/>
  <c r="D12" i="74" s="1"/>
  <c r="D13" i="74" s="1"/>
  <c r="G59" i="70"/>
  <c r="H60" i="70"/>
  <c r="G61" i="70"/>
  <c r="G60" i="70"/>
  <c r="H61" i="70"/>
  <c r="D23" i="74"/>
  <c r="G22" i="74"/>
  <c r="G23" i="74" s="1"/>
  <c r="G82" i="62"/>
  <c r="H82" i="62"/>
  <c r="G12" i="74" l="1"/>
  <c r="G13" i="74" s="1"/>
  <c r="H62" i="70"/>
  <c r="G63" i="70" s="1"/>
  <c r="G62" i="70"/>
  <c r="H83" i="62"/>
  <c r="H84" i="62" s="1"/>
  <c r="G83" i="62"/>
  <c r="J14" i="78" l="1"/>
  <c r="E14" i="78" s="1"/>
  <c r="I85" i="62"/>
  <c r="H85" i="62"/>
  <c r="H63" i="70"/>
  <c r="D21" i="74" s="1"/>
  <c r="G21" i="74" s="1"/>
  <c r="D20" i="74"/>
  <c r="C14" i="72" l="1"/>
  <c r="F16" i="72" s="1"/>
  <c r="F14" i="78"/>
  <c r="F18" i="78" s="1"/>
  <c r="G86" i="62"/>
  <c r="H86" i="62"/>
  <c r="G20" i="74"/>
  <c r="G16" i="72" l="1"/>
  <c r="M16" i="72" s="1"/>
  <c r="L34" i="72" s="1"/>
  <c r="F17" i="78"/>
  <c r="E18" i="78"/>
  <c r="F20" i="78"/>
  <c r="D29" i="74"/>
  <c r="G29" i="74" l="1"/>
  <c r="G28" i="74" s="1"/>
  <c r="D28" i="74"/>
  <c r="L19" i="72"/>
  <c r="L26" i="72"/>
  <c r="L17" i="72"/>
  <c r="L18" i="72"/>
  <c r="L27" i="72"/>
  <c r="L24" i="72"/>
  <c r="L28" i="72"/>
  <c r="L25" i="72"/>
  <c r="L13" i="72"/>
  <c r="L23" i="72"/>
  <c r="L31" i="72"/>
  <c r="L33" i="72"/>
  <c r="L29" i="72"/>
  <c r="L7" i="72"/>
  <c r="L22" i="72"/>
  <c r="L30" i="72"/>
  <c r="L32" i="72"/>
  <c r="L6" i="72"/>
  <c r="L9" i="72"/>
  <c r="L21" i="72"/>
  <c r="L11" i="72"/>
  <c r="L10" i="72"/>
  <c r="L14" i="72"/>
  <c r="L12" i="72"/>
  <c r="L8" i="72"/>
  <c r="L20" i="72"/>
  <c r="L16" i="72"/>
  <c r="E17" i="72" l="1"/>
  <c r="G17" i="72" s="1"/>
  <c r="D25" i="74" s="1"/>
  <c r="G25" i="74" l="1"/>
  <c r="G26" i="74" s="1"/>
  <c r="G27" i="74" s="1"/>
  <c r="G31" i="74" s="1"/>
  <c r="G33" i="74" s="1"/>
  <c r="D26" i="74"/>
  <c r="D27" i="74" s="1"/>
  <c r="D31" i="74" s="1"/>
  <c r="F17" i="72"/>
  <c r="G34" i="74" l="1"/>
  <c r="G35" i="74" s="1"/>
</calcChain>
</file>

<file path=xl/sharedStrings.xml><?xml version="1.0" encoding="utf-8"?>
<sst xmlns="http://schemas.openxmlformats.org/spreadsheetml/2006/main" count="740" uniqueCount="537">
  <si>
    <t>Расчет стоимости</t>
  </si>
  <si>
    <t>НДС 18%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</si>
  <si>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</si>
  <si>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</si>
  <si>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</si>
  <si>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</si>
  <si>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</si>
  <si>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</si>
  <si>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</si>
  <si>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</si>
  <si>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</si>
  <si>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</si>
  <si>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</si>
  <si>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</si>
  <si>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</si>
  <si>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</si>
  <si>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</si>
  <si>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</si>
  <si>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</si>
  <si>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</si>
  <si>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</si>
  <si>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</si>
  <si>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</si>
  <si>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</si>
  <si>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</si>
  <si>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</si>
  <si>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</si>
  <si>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</si>
  <si>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</si>
  <si>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</si>
  <si>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</si>
  <si>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</si>
  <si>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</si>
  <si>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</si>
  <si>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</si>
  <si>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</si>
  <si>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</si>
  <si>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</si>
  <si>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</si>
  <si>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</si>
  <si>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</si>
  <si>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</si>
  <si>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</si>
  <si>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</si>
  <si>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</si>
  <si>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</si>
  <si>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</si>
  <si>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</si>
  <si>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</si>
  <si>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</si>
  <si>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</si>
  <si>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</si>
  <si>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</si>
  <si>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</si>
  <si>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</si>
  <si>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</si>
  <si>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</si>
  <si>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</si>
  <si>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</si>
  <si>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</si>
  <si>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</si>
  <si>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</si>
  <si>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</si>
  <si>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</si>
  <si>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</si>
  <si>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</si>
  <si>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</si>
  <si>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Приложение №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</si>
  <si>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</si>
  <si>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</si>
  <si>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</si>
  <si>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</si>
  <si>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</si>
  <si>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</si>
  <si>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</si>
  <si>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</si>
  <si>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</si>
  <si>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</si>
  <si>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</si>
  <si>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</si>
  <si>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</si>
  <si>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 xml:space="preserve">к  Договору № </t>
  </si>
  <si>
    <t>к  Договору №</t>
  </si>
  <si>
    <t>к Договору №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</si>
  <si>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</si>
  <si>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</si>
  <si>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</si>
  <si>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</si>
  <si>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</si>
  <si>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</si>
  <si>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</si>
  <si>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</si>
  <si>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</si>
  <si>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</si>
  <si>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</si>
  <si>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</si>
  <si>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 xml:space="preserve">к Договору  №  </t>
  </si>
  <si>
    <t>от "______"_______________20        г.</t>
  </si>
  <si>
    <t>по расчету стоимости раздела "Мероприятия по охране окружающей среды"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</si>
  <si>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</si>
  <si>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</si>
  <si>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</si>
  <si>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</si>
  <si>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</si>
  <si>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</si>
  <si>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</si>
  <si>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</si>
  <si>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</si>
  <si>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</si>
  <si>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</si>
  <si>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</si>
  <si>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</si>
  <si>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</si>
  <si>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</si>
  <si>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</si>
  <si>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</si>
  <si>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</si>
  <si>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</si>
  <si>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Базовая цена разработки раздела "Мероприятия по обеспечению пожарной безопасности", тыс.руб.</t>
  </si>
  <si>
    <t>Стоимость разработки проектной документации ("П") в базовых ценах 2000 г.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</si>
  <si>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</si>
  <si>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</si>
  <si>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</si>
  <si>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</si>
  <si>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</si>
  <si>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</si>
  <si>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</si>
  <si>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Натуральный показатель "X", га</t>
  </si>
  <si>
    <t>Параметры базовой цены</t>
  </si>
  <si>
    <t>а, тыс. руб.</t>
  </si>
  <si>
    <t>в, тыс. руб./га</t>
  </si>
  <si>
    <t>до 0,5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</si>
  <si>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</si>
  <si>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</si>
  <si>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</si>
  <si>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</si>
  <si>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</si>
  <si>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</si>
  <si>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</si>
  <si>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</si>
  <si>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</si>
  <si>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indexed="12"/>
        <rFont val="Times New Roman"/>
        <family val="1"/>
        <charset val="204"/>
      </rPr>
      <t>0,5</t>
    </r>
    <r>
      <rPr>
        <sz val="10"/>
        <color indexed="12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</si>
  <si>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indexed="12"/>
        <rFont val="Times New Roman"/>
        <family val="1"/>
        <charset val="204"/>
      </rPr>
      <t>0,75</t>
    </r>
    <r>
      <rPr>
        <sz val="10"/>
        <color indexed="12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</si>
  <si>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indexed="12"/>
        <rFont val="Times New Roman"/>
        <family val="1"/>
        <charset val="204"/>
      </rPr>
      <t>0,85</t>
    </r>
    <r>
      <rPr>
        <sz val="10"/>
        <color indexed="12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</si>
  <si>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indexed="12"/>
        <rFont val="Times New Roman"/>
        <family val="1"/>
        <charset val="204"/>
      </rPr>
      <t>0,9</t>
    </r>
    <r>
      <rPr>
        <sz val="10"/>
        <color indexed="12"/>
        <rFont val="Times New Roman"/>
        <family val="1"/>
        <charset val="204"/>
      </rPr>
      <t xml:space="preserve">; свыше 50 га - коэффициент </t>
    </r>
    <r>
      <rPr>
        <b/>
        <sz val="10"/>
        <color indexed="12"/>
        <rFont val="Times New Roman"/>
        <family val="1"/>
        <charset val="204"/>
      </rPr>
      <t>0,8</t>
    </r>
    <r>
      <rPr>
        <sz val="10"/>
        <color indexed="12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</si>
  <si>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</si>
  <si>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</si>
  <si>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</si>
  <si>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</si>
  <si>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</si>
  <si>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</si>
  <si>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</si>
  <si>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</si>
  <si>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</si>
  <si>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</si>
  <si>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</si>
  <si>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</si>
  <si>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</si>
  <si>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</si>
  <si>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</si>
  <si>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</si>
  <si>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</si>
  <si>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</si>
  <si>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</si>
  <si>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</si>
  <si>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</si>
  <si>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</si>
  <si>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</si>
  <si>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</si>
  <si>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</si>
  <si>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</si>
  <si>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</si>
  <si>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</si>
  <si>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</si>
  <si>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Расчет рассеивания ЗВ (от п.11)</t>
  </si>
  <si>
    <t>Расчет массы выбросов ЗВ от стационарных и передвижных источников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</si>
  <si>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</si>
  <si>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</si>
  <si>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</si>
  <si>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</si>
  <si>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</si>
  <si>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</si>
  <si>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</si>
  <si>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</si>
  <si>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</si>
  <si>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</si>
  <si>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</si>
  <si>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</si>
  <si>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</si>
  <si>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</si>
  <si>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</si>
  <si>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</si>
  <si>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</si>
  <si>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</si>
  <si>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</si>
  <si>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</si>
  <si>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</si>
  <si>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</si>
  <si>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</si>
  <si>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</si>
  <si>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</si>
  <si>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</si>
  <si>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</si>
  <si>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</si>
  <si>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</si>
  <si>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</si>
  <si>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</si>
  <si>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</si>
  <si>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</si>
  <si>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</si>
  <si>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</si>
  <si>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</si>
  <si>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</si>
  <si>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</si>
  <si>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</si>
  <si>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</si>
  <si>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</si>
  <si>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</si>
  <si>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</si>
  <si>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</si>
  <si>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</si>
  <si>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</si>
  <si>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</si>
  <si>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</si>
  <si>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</si>
  <si>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</si>
  <si>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</si>
  <si>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</si>
  <si>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</si>
  <si>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</si>
  <si>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</si>
  <si>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</si>
  <si>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</si>
  <si>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 xml:space="preserve">Итого по Сводному расчету 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</si>
  <si>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</si>
  <si>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</si>
  <si>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</si>
  <si>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</si>
  <si>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</si>
  <si>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</si>
  <si>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</si>
  <si>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</si>
  <si>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</si>
  <si>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</si>
  <si>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</si>
  <si>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от "      " _______ 201__г.</t>
  </si>
  <si>
    <t xml:space="preserve">к Договору № </t>
  </si>
  <si>
    <t>территория жилой застройки</t>
  </si>
  <si>
    <t>(Таблица 50) ТЧ п.6.5</t>
  </si>
  <si>
    <t>комплекс</t>
  </si>
  <si>
    <t>Акустический режим объекта. Натурные замеры уровней шума на территории</t>
  </si>
  <si>
    <t>1измерение в 1точке</t>
  </si>
  <si>
    <t>3.2.7 таблица 17а, п.1</t>
  </si>
  <si>
    <t>коэф. 1,15 на выпуск разделов отдельными томами</t>
  </si>
  <si>
    <t>Раздел. Оплата согласований</t>
  </si>
  <si>
    <t>Обоснование расчета                                        № поз. МРР-6.1-16</t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</si>
  <si>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(МРР-1.1-16 табл. 5.2)</t>
    </r>
  </si>
  <si>
    <t>Разработана на основании "Сборника Единой нормативной базы МРР. Глава 6. Разделы проектной документации,не вошедшие в стоимость основных проектных работ. Сборник 6.1 Мероприятия по охранеокружающей среды. МРР-6.1-16"</t>
  </si>
  <si>
    <t>Разработана на основании "Сборника Единой нормативной базы МРР. Глава 6.  Разделы проектной документации,не вошедшие в  стоимость основных проектных работ. Сборник 6.2  Мероприятия по обеспечению пожарной безопасности. МРР-6.2-16</t>
  </si>
  <si>
    <t>Базовая стоимость разработки проектной документации   (табл. 2.3)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</si>
  <si>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1.2)</t>
    </r>
  </si>
  <si>
    <t>Разработана на основании Сборника Единой нормативной базы МРР. Глава 6 . Разделы проектной документации,не вошедшие в стоимость основных проектных работ. 
Сборник 6.1 Мероприятия по охране  окружающей среды МРР-6.1-16</t>
  </si>
  <si>
    <t>С М Е Т А   № 2</t>
  </si>
  <si>
    <t xml:space="preserve">С М Е Т А  № 1    </t>
  </si>
  <si>
    <t>ТЕПЛОВЫЕ СЕТИ (температурный график 150-70 °С)</t>
  </si>
  <si>
    <t>Проект группы объектов</t>
  </si>
  <si>
    <t>п.5</t>
  </si>
  <si>
    <t>п.9</t>
  </si>
  <si>
    <t>п.1</t>
  </si>
  <si>
    <t>в т.ч. ПД (40%)</t>
  </si>
  <si>
    <t>Сбор исходной информации - 2 % от ТС</t>
  </si>
  <si>
    <t>Благоустройство</t>
  </si>
  <si>
    <t>Дендрология</t>
  </si>
  <si>
    <t>Итого по Сводному расчету  в текущих ценах</t>
  </si>
  <si>
    <t>п.2</t>
  </si>
  <si>
    <t>Передача сигнала РДП</t>
  </si>
  <si>
    <t>Смета № 6</t>
  </si>
  <si>
    <t>Количество камер</t>
  </si>
  <si>
    <t>технологическая часть 100%</t>
  </si>
  <si>
    <t>Количество узлов</t>
  </si>
  <si>
    <t>Сбор и анализ архивных и справочных материалов, результатов инженерных изысканий и натурных исследований</t>
  </si>
  <si>
    <t>Сбор и анализ проектных материалов</t>
  </si>
  <si>
    <t>Сбор исходной информации - 2 % от ПИР</t>
  </si>
  <si>
    <t>СМЕТА №3</t>
  </si>
  <si>
    <t>Раздел. Проведение археологического исследования</t>
  </si>
  <si>
    <t>1 шурф на 1 га</t>
  </si>
  <si>
    <t>Категория сложности</t>
  </si>
  <si>
    <t>Площадь участка, кв.м -</t>
  </si>
  <si>
    <t xml:space="preserve">I </t>
  </si>
  <si>
    <t>Объект в пределах строительной площадки, на котором проводились археологические изыскания</t>
  </si>
  <si>
    <t>Глубина, м -</t>
  </si>
  <si>
    <t>II</t>
  </si>
  <si>
    <t>Объект в пределах строительной площадки, имеющий только архивные или библиографические данные</t>
  </si>
  <si>
    <t>Количество шурфов -</t>
  </si>
  <si>
    <t>III</t>
  </si>
  <si>
    <t>Объект, в пределах строительной площадки, не имеющий сведений</t>
  </si>
  <si>
    <t>Площадь шурфов, кв.м -</t>
  </si>
  <si>
    <t>1шурф на 1 га</t>
  </si>
  <si>
    <t>IV</t>
  </si>
  <si>
    <t>Объект в пределах строительной площадки, не имеющий сведений, открытый вновь</t>
  </si>
  <si>
    <t>Сборник 3.5  Археологические исследования   МРР-3.5-16</t>
  </si>
  <si>
    <t>№</t>
  </si>
  <si>
    <t>Характеристика объекта, здания, сооружения или вида работ</t>
  </si>
  <si>
    <t>Таблицы, примечания</t>
  </si>
  <si>
    <t>базовая стоимость</t>
  </si>
  <si>
    <t>Единица измерения</t>
  </si>
  <si>
    <t>Кол-во</t>
  </si>
  <si>
    <t>Стоимость, руб</t>
  </si>
  <si>
    <t>т.4.1.1</t>
  </si>
  <si>
    <t>Измеритель – объект</t>
  </si>
  <si>
    <t>1. Подготовительные работы</t>
  </si>
  <si>
    <r>
      <t>Площадь территории в</t>
    </r>
    <r>
      <rPr>
        <b/>
        <sz val="12"/>
        <color indexed="12"/>
        <rFont val="Times New Roman"/>
        <family val="1"/>
        <charset val="204"/>
      </rPr>
      <t xml:space="preserve"> га</t>
    </r>
    <r>
      <rPr>
        <sz val="10"/>
        <color indexed="12"/>
        <rFont val="Times New Roman"/>
        <family val="1"/>
        <charset val="204"/>
      </rPr>
      <t>, до:</t>
    </r>
  </si>
  <si>
    <t>Получение письма-заказа и ознакомление с представленной документацией</t>
  </si>
  <si>
    <t xml:space="preserve">табл.4.1.1, п. 2а </t>
  </si>
  <si>
    <t>Объект</t>
  </si>
  <si>
    <t xml:space="preserve">№ </t>
  </si>
  <si>
    <t>На каждые 5,0 более 10,0</t>
  </si>
  <si>
    <t>табл.4.1.3, п.1</t>
  </si>
  <si>
    <t>%</t>
  </si>
  <si>
    <t>б</t>
  </si>
  <si>
    <t>в</t>
  </si>
  <si>
    <t>г</t>
  </si>
  <si>
    <t>1.</t>
  </si>
  <si>
    <t>2.</t>
  </si>
  <si>
    <t xml:space="preserve">Подготовка геоподосновы  </t>
  </si>
  <si>
    <t xml:space="preserve">3. </t>
  </si>
  <si>
    <t>табл.4.1.3, п.5</t>
  </si>
  <si>
    <t xml:space="preserve">4. </t>
  </si>
  <si>
    <t>Подготовка программы научно-проектных работ</t>
  </si>
  <si>
    <t>табл.4.1.4, п.1</t>
  </si>
  <si>
    <t xml:space="preserve">Историко-архивные библиографические исследования </t>
  </si>
  <si>
    <t>табл.4.2.3, п.1;</t>
  </si>
  <si>
    <t>примеч. п.1</t>
  </si>
  <si>
    <t>Составление исторической записки по результатам историко-архивных библиографических исследований</t>
  </si>
  <si>
    <t>табл.4.2.3, п.2</t>
  </si>
  <si>
    <t>печ. лист</t>
  </si>
  <si>
    <t>Составление пояснительной записки</t>
  </si>
  <si>
    <t>табл.4.2.3, п.3</t>
  </si>
  <si>
    <t>Перевод исторических планов в современный масштаб (фрагмент плана Москвы на середину XIX в. С указанием владельцев)</t>
  </si>
  <si>
    <t>табл.4.2.3, п.4</t>
  </si>
  <si>
    <t>лист формата А4</t>
  </si>
  <si>
    <t>Историко-гидрографическая схема</t>
  </si>
  <si>
    <t>табл.4.2.3, п.5</t>
  </si>
  <si>
    <t>Копирование исторических планов и документов</t>
  </si>
  <si>
    <t>МРР-3.5-16 табл.4.2.3, п.6</t>
  </si>
  <si>
    <t>до 2000</t>
  </si>
  <si>
    <t>ИТОГО базовая стоимость по разделу 1:</t>
  </si>
  <si>
    <t>2. Натурные исследования и камеральная обработка результатов при проведении археологических разведок</t>
  </si>
  <si>
    <t>Археологические изыскания</t>
  </si>
  <si>
    <t>табл.4.3.1, п.1</t>
  </si>
  <si>
    <t>Таб. 4.3.1.   Площадь территории, м2, до</t>
  </si>
  <si>
    <t>раздел 4.3, п.1</t>
  </si>
  <si>
    <t xml:space="preserve">неблагоприятный период </t>
  </si>
  <si>
    <t>табл 4.3.1</t>
  </si>
  <si>
    <t>раздел 4.3, п.2</t>
  </si>
  <si>
    <t>в условиях действ строит площадки</t>
  </si>
  <si>
    <t>на каждые 500 более 2000</t>
  </si>
  <si>
    <t>площадь</t>
  </si>
  <si>
    <t>формула для площадей более 2000 кв.м</t>
  </si>
  <si>
    <t xml:space="preserve">Археологическое сопровождение с ведением полевого дневника </t>
  </si>
  <si>
    <t>табл.4.3.3, п.1.3</t>
  </si>
  <si>
    <t>баз стоим</t>
  </si>
  <si>
    <t>Таб. 4.3.3.   Площадь территории, м2, до</t>
  </si>
  <si>
    <t>Фиксация горизонтальной зачистки раскопа  по пластам.</t>
  </si>
  <si>
    <t>табл.4.3.4, п.2</t>
  </si>
  <si>
    <t>10 кв. м.</t>
  </si>
  <si>
    <t>до 0,6м</t>
  </si>
  <si>
    <t>п.2.1</t>
  </si>
  <si>
    <t>до 1,4м</t>
  </si>
  <si>
    <t>п.2.2</t>
  </si>
  <si>
    <t>до 3м</t>
  </si>
  <si>
    <t>п.2.3</t>
  </si>
  <si>
    <t>Фиксация вертикальной зачистки (стратиграфические колонки)</t>
  </si>
  <si>
    <t>табл.4.3.4, п. 3</t>
  </si>
  <si>
    <t>до 5м</t>
  </si>
  <si>
    <t>п.2.4</t>
  </si>
  <si>
    <t xml:space="preserve">Составление археологического ситуационного плана </t>
  </si>
  <si>
    <t>табл.4.3.4, п.5</t>
  </si>
  <si>
    <t>Вынос в натуру объектов исследования.</t>
  </si>
  <si>
    <t>табл.4.3.4, п.1</t>
  </si>
  <si>
    <t>100 кв.м натуры</t>
  </si>
  <si>
    <t>Составление отчёта (текстовая часть)</t>
  </si>
  <si>
    <t>табл.4.4.1, п.4</t>
  </si>
  <si>
    <t>тарифы неизменяемые</t>
  </si>
  <si>
    <r>
      <rPr>
        <b/>
        <sz val="10"/>
        <color indexed="12"/>
        <rFont val="Times New Roman"/>
        <family val="1"/>
        <charset val="204"/>
      </rPr>
      <t>1 печатный лист</t>
    </r>
    <r>
      <rPr>
        <sz val="10"/>
        <color indexed="12"/>
        <rFont val="Times New Roman"/>
        <family val="1"/>
        <charset val="204"/>
      </rPr>
      <t xml:space="preserve"> = 24 страницам машинописного текста (примеч. 2)</t>
    </r>
  </si>
  <si>
    <t>Комплектация альбома к пояснительным запискам, отчетам и другим текстовым материалам, включая до 20 фотографий.</t>
  </si>
  <si>
    <t>табл.4.4.1, п.5</t>
  </si>
  <si>
    <t>альбом 
(до 5 экз)</t>
  </si>
  <si>
    <t>Вычерчивание ситуационного плана объекта (М1:500)</t>
  </si>
  <si>
    <t>табл.4.4.2, п.2</t>
  </si>
  <si>
    <t>Вычерчивание плана раскопа по пластам (М1:20)</t>
  </si>
  <si>
    <t>табл.4.4.2, п.3</t>
  </si>
  <si>
    <t>Вычерчивание стратиграфических разрезов стенок раскопа (М1:20)</t>
  </si>
  <si>
    <t>табл.4.4.2, п.5</t>
  </si>
  <si>
    <t>ИТОГО базовая стоимость по разделу 2:</t>
  </si>
  <si>
    <t>Базовая стоимость проведения историко-культурной экспертизы (СБЦ на проведение историко-культурной экспертизы-Распоряжение № 12-р от 06.07.2012г ДЭПиР г.Москвы)</t>
  </si>
  <si>
    <t xml:space="preserve">табл 3.3, п.2, примеч </t>
  </si>
  <si>
    <t>ИТОГО в базовых ценах:</t>
  </si>
  <si>
    <t>Археологические исследования</t>
  </si>
  <si>
    <t>Итого проектно-изыскательских работ:</t>
  </si>
  <si>
    <t>Смета № 7</t>
  </si>
  <si>
    <t>Наименование</t>
  </si>
  <si>
    <t>Коэф.</t>
  </si>
  <si>
    <t xml:space="preserve"> Расчет стоимости</t>
  </si>
  <si>
    <t xml:space="preserve">Стоимость </t>
  </si>
  <si>
    <t>Со ан.пл.(Б)=Спр(Б) * α ан * Ксл</t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</si>
  <si>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</si>
  <si>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t>Год</t>
  </si>
  <si>
    <t>Коэффициенты пересчета к базовой стоимости в ценах 2000 г.</t>
  </si>
  <si>
    <t>I квартал</t>
  </si>
  <si>
    <t>II квартал</t>
  </si>
  <si>
    <t>III квартал</t>
  </si>
  <si>
    <t>IV квартал</t>
  </si>
  <si>
    <t>РАСЧЁТ СТОИМОСТИ УСЛУГ ПО ВЕДЕНИЮ АВТОРСКОГО НАДЗОРА</t>
  </si>
  <si>
    <t>Расчет составлен на основании Методики определения стоимости осуществления авторского надзора за строительством зданий, сооружений и предприятий в городе Москве МРР-10.1-17</t>
  </si>
  <si>
    <t xml:space="preserve">Обоснование </t>
  </si>
  <si>
    <t>ТС</t>
  </si>
  <si>
    <t>БЛ</t>
  </si>
  <si>
    <t>Д</t>
  </si>
  <si>
    <t>Перекладка</t>
  </si>
  <si>
    <t>Итого  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</si>
  <si>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</si>
  <si>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t>ТС, БЛ, Д</t>
  </si>
  <si>
    <t>РДП</t>
  </si>
  <si>
    <t>Основные ПР</t>
  </si>
  <si>
    <t>Итого в текущих ценах без НДС:</t>
  </si>
  <si>
    <t>С М Е Т А   № 5</t>
  </si>
  <si>
    <t>Разработка программы производственного и экологического контроля (мониторинга)</t>
  </si>
  <si>
    <t>программа</t>
  </si>
  <si>
    <t>3.2.12. таблица 24</t>
  </si>
  <si>
    <t>Расчет затрат на реализацию природоохранных мероприятий и компенсационных выплат</t>
  </si>
  <si>
    <t>виды вредного воздействия</t>
  </si>
  <si>
    <t>3.2.13. таблица 25</t>
  </si>
  <si>
    <t>см ТС</t>
  </si>
  <si>
    <t>табл.4.1.1</t>
  </si>
  <si>
    <t>тариф  неизменяемый</t>
  </si>
  <si>
    <t>до 1000м2  -  2, 2, 2,</t>
  </si>
  <si>
    <t>свыше 1000м2  -  7, 4, 7</t>
  </si>
  <si>
    <t>тарифы  неизменяемые, а количество рассчитывается в зависимости от кол-ва шурфов</t>
  </si>
  <si>
    <t>Базовая стоимость археологических работ</t>
  </si>
  <si>
    <t>тарифы  неизменяемые, от 1 до 10 га, в случае площади менее 1 га, принимать понижающий коэф. равный площади в га</t>
  </si>
  <si>
    <t>более 2000</t>
  </si>
  <si>
    <t>Расчёт  стоимости услуг по ведению авторского надзора</t>
  </si>
  <si>
    <t>Расчёт  стоимости услуг по ведению авторского надзора (ТС, БЛ,Д)</t>
  </si>
  <si>
    <t>Расчёт  стоимости услуг по ведению авторского надзора (РДП)</t>
  </si>
  <si>
    <t>Теплосеть :           L=</t>
  </si>
  <si>
    <t>Базовая стоимость разработки проектной документации ("П"), руб. (в ценах на 01.01.2000)</t>
  </si>
  <si>
    <t>Спр(Б)-базовая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Москвы" (ТС - МРР -4.2-16; БЛ - МРР -7.1-16; Д - МРР-6.1-16)</t>
  </si>
  <si>
    <t>Спр(Б)-базовая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СБЦ 81-2001-02 Объекты связи СБЦП-2001-02" (РДП)</t>
  </si>
  <si>
    <r>
      <t xml:space="preserve">К1 </t>
    </r>
    <r>
      <rPr>
        <sz val="10"/>
        <rFont val="Times New Roman"/>
        <family val="1"/>
        <charset val="204"/>
      </rPr>
      <t>- ППУ изоляция (табл.3.4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</si>
  <si>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2 п.2.9)</t>
    </r>
  </si>
  <si>
    <t xml:space="preserve"> 3.1.2 таблица 3 п.6</t>
  </si>
  <si>
    <t>3.1.2 таблица 3 п. 10</t>
  </si>
  <si>
    <t>3.2.5. Табл.10, п.2</t>
  </si>
  <si>
    <t>3.1.2 таблица 3 п. 9</t>
  </si>
  <si>
    <t xml:space="preserve">3.2.1 таблица 5 </t>
  </si>
  <si>
    <t>3.2.5. Табл.10, п.1</t>
  </si>
  <si>
    <t xml:space="preserve"> 3.1.2 таблица 3 п. 5</t>
  </si>
  <si>
    <t>Жилой комплекс</t>
  </si>
  <si>
    <t>Общественный комплекс</t>
  </si>
  <si>
    <t xml:space="preserve"> (Табл. 2.2.1 п.11)</t>
  </si>
  <si>
    <t xml:space="preserve"> (Табл. 2.2.1 п.1)</t>
  </si>
  <si>
    <t>Разработка проекта восстановления благоустройства территории</t>
  </si>
  <si>
    <r>
      <rPr>
        <b/>
        <sz val="10"/>
        <rFont val="Times New Roman"/>
        <family val="1"/>
        <charset val="204"/>
      </rPr>
      <t>восстановление благоустройства территории</t>
    </r>
    <r>
      <rPr>
        <sz val="10"/>
        <rFont val="Times New Roman"/>
        <family val="1"/>
        <charset val="204"/>
      </rPr>
      <t>: комплекс работ по вос-становлению состояния территории, газонов, покрытия дорог, зеленых насаждений и т.д.,</t>
    </r>
    <r>
      <rPr>
        <sz val="10"/>
        <color rgb="FF0000FF"/>
        <rFont val="Times New Roman"/>
        <family val="1"/>
        <charset val="204"/>
      </rPr>
      <t xml:space="preserve"> существовавших до начала производства работ</t>
    </r>
    <r>
      <rPr>
        <sz val="10"/>
        <rFont val="Times New Roman"/>
        <family val="1"/>
        <charset val="204"/>
      </rPr>
      <t>, приведших к нарушению благоустройства</t>
    </r>
  </si>
  <si>
    <t>Разработана на основании "Сборника Единой нормативной базы МРР. Глава 7. Объекты благоустройства и городской среды. Сборник 7.1.  Комплексное благоустройство территорий, крыш зданий и других  искусственных оснований" МРР -7.1.02-18 от 30.03.2018</t>
  </si>
  <si>
    <t>Разработка проекта восстановления благоустройства территории    (Табл. 2.2.1 п.11), га.</t>
  </si>
  <si>
    <t>Архитектурно-планир. Решения (генплан, разбивочные чертежи планир.)</t>
  </si>
  <si>
    <t xml:space="preserve">Посадочные и разбивочные чертежи озеленения </t>
  </si>
  <si>
    <t>свыше 10</t>
  </si>
  <si>
    <t>Вертик. планир. (организация рельефа)</t>
  </si>
  <si>
    <t>Дорожнотропипиночная сеть</t>
  </si>
  <si>
    <t>ПОС</t>
  </si>
  <si>
    <t>Сметная документация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</si>
  <si>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</si>
  <si>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(табл.3.4 прим. п.5)</t>
    </r>
  </si>
  <si>
    <t>Тепловая камера:
                                        S=</t>
  </si>
  <si>
    <t>(табл.3.5 п.3)    Ц(б)2000 = 
а+b*х,  где а=</t>
  </si>
  <si>
    <t>Узел управления для обслуживания шаровых кранов (байпас) :</t>
  </si>
  <si>
    <t>Индекс пересчета на проектные работы  на 1 квартал 2018г. (Письмо Минстроя РФ №13606-ХМ/09 от 04.04.2018г)</t>
  </si>
  <si>
    <t>бесканально на ж/б основании</t>
  </si>
  <si>
    <t xml:space="preserve">3.2.2 таблица 6 </t>
  </si>
  <si>
    <t>Индекс пересчета на изыскательские работы  на 1 квартал 2018г. (Письмо Минстроя России № 13606-ХМ/09 от 04.04.2018)</t>
  </si>
  <si>
    <t>С М Е Т А  №6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</si>
  <si>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</si>
  <si>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</si>
  <si>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</si>
  <si>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</si>
  <si>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</si>
  <si>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</si>
  <si>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</si>
  <si>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</si>
  <si>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</si>
  <si>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</si>
  <si>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</si>
  <si>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</si>
  <si>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</si>
  <si>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</si>
  <si>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7</t>
  </si>
  <si>
    <t>С М Е Т А  № 8</t>
  </si>
  <si>
    <t>11,1</t>
  </si>
  <si>
    <t>11,2</t>
  </si>
  <si>
    <t>Смета № 8</t>
  </si>
  <si>
    <t>Узел управления для обслуживания шаровых кранов (ответвление) :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</si>
  <si>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</si>
  <si>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(табл.3.4 п.13)   Ц(б)2000 = а+b*х,  где а=</t>
  </si>
  <si>
    <t>Индекс пересчета на проектные работы на 2019 г.(приказ Москомэкспертизы №МКЭ-ОД/17-71 от 19.12.2017)</t>
  </si>
  <si>
    <t>(табл.3.4 п.12а)  Ц(б)2000 = а,  где а=</t>
  </si>
  <si>
    <t>Индекс пересчета на проектные работы на 1 квартал 2019 г.(приказ Москомэкспертизы №МКЭ-ОД/18-65 от 21.12.2018)</t>
  </si>
  <si>
    <t>Разработана на основании "Сборника Единой нормативной базы МРР. Глава 4. Архитектурно-строительное проектирование. Основные проектные работы. 
Сборник 4.2. Инженерные сети и  сооружения. МРР -4.2.02-18"</t>
  </si>
  <si>
    <t>НДС 20%</t>
  </si>
  <si>
    <t>Всего по Сводному расчету , в т.ч. НДС 20%</t>
  </si>
  <si>
    <t>Индекс пересчета на проектные работы  на 2018г. (Письмо Минстроя России № 13606-ХМ/09 от 04.04.2018)</t>
  </si>
  <si>
    <t>Теплосеть до Ду150 в ППУ-ПЭ</t>
  </si>
  <si>
    <t>(табл.3.4 п.1)   Ц(б)2000 = а+b*х,  где а=</t>
  </si>
  <si>
    <t>в монолитном проходном канале</t>
  </si>
  <si>
    <r>
      <t xml:space="preserve">К3 </t>
    </r>
    <r>
      <rPr>
        <sz val="10"/>
        <rFont val="Times New Roman"/>
        <family val="1"/>
        <charset val="204"/>
      </rPr>
      <t>- перегретая вода (табл.3.4 прим.п.16)</t>
    </r>
  </si>
  <si>
    <r>
      <t xml:space="preserve">Ксум - </t>
    </r>
    <r>
      <rPr>
        <sz val="10"/>
        <rFont val="Times New Roman"/>
        <family val="1"/>
        <charset val="204"/>
      </rPr>
      <t>не должно превышать 2. (раздел 2, п.2.2)</t>
    </r>
  </si>
  <si>
    <t>за строительно-монтажными работами для подключения к системам теплоснабжения ПАО «МОЭК» объектов капитального строительства указанных в п.1.1.1 договора, при строительстве жилых домов и объектов социального значения на земельном участке площадью 87 288 кв.м., кадастровый №77:04:0002007:13733, расположенного по адресу: г. Москва, ул. 2-я Институтская</t>
  </si>
  <si>
    <t>в монолитном непроходном канале</t>
  </si>
  <si>
    <t>(табл.3.4 п.3)   Ц(б)2000 = а+b*х,  где а=</t>
  </si>
  <si>
    <t>Сборная  4,2*4,2*2,0м</t>
  </si>
  <si>
    <t>Выполнение изыскательских работ, разработка проектной документации, рабочей документации и на их основе составление сметы на строительство тепловой сети для осуществления подключения объекта капитального строительства «Школа на 800 мест», расположенного по адресам: г. Москва, ш. Дмитровское, вл.107; г. Москва, ш. Дмитровское, вл.107, стр.11А</t>
  </si>
  <si>
    <t>Тепловая сеть 2ду125-100м</t>
  </si>
  <si>
    <t>Проходной канал:           L=</t>
  </si>
  <si>
    <t>(табл.3.5 п.1)   Ц(б)2000 = а+b*х,  где а=</t>
  </si>
  <si>
    <r>
      <t xml:space="preserve">К1 </t>
    </r>
    <r>
      <rPr>
        <sz val="10"/>
        <rFont val="Times New Roman"/>
        <family val="1"/>
        <charset val="204"/>
      </rPr>
      <t>- проходной канал (табл.3.4 прим.п.9)</t>
    </r>
  </si>
  <si>
    <t>Канализация (Водоотведение) :                       L=</t>
  </si>
  <si>
    <t>(табл.3.3 п.1)   Ц(б)2000 = а+b*х,  где а=</t>
  </si>
  <si>
    <t>Монтаж Байпас  до Ду500</t>
  </si>
  <si>
    <t>2 Ду 400-30м</t>
  </si>
  <si>
    <t>Ду200мм</t>
  </si>
  <si>
    <t>Тепловая камера - реконструкция</t>
  </si>
  <si>
    <t>строительная часть - 100%</t>
  </si>
  <si>
    <t>Тепловая камера :                                               S=</t>
  </si>
  <si>
    <r>
      <rPr>
        <b/>
        <sz val="10"/>
        <rFont val="Times New Roman"/>
        <family val="1"/>
        <charset val="204"/>
      </rPr>
      <t>К</t>
    </r>
    <r>
      <rPr>
        <sz val="10"/>
        <rFont val="Times New Roman"/>
        <family val="1"/>
        <charset val="204"/>
      </rPr>
      <t xml:space="preserve"> - реконструкция (раздел 2, табл.2.1, п.1)</t>
    </r>
  </si>
  <si>
    <t>Монолитная 4,2*4,6*2,0м</t>
  </si>
  <si>
    <t>(табл.3.5 п.4)    Ц(б)2000 = а+b*х,  где               а=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</si>
</sst>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0;[Red]0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Arial"/>
      <family val="2"/>
      <charset val="204"/>
    </font>
    <font>
      <i/>
      <sz val="10"/>
      <name val="Times New Roman"/>
      <family val="1"/>
      <charset val="204"/>
    </font>
    <font>
      <sz val="8"/>
      <color theme="1"/>
      <name val="Arial"/>
      <family val="2"/>
      <charset val="204"/>
    </font>
    <font>
      <u/>
      <sz val="10"/>
      <color theme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FF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0000FF"/>
      <name val="Courier New"/>
      <family val="3"/>
      <charset val="204"/>
    </font>
    <font>
      <sz val="10"/>
      <color rgb="FFC9C9FF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FF"/>
      <name val="Calibri"/>
      <family val="2"/>
      <charset val="204"/>
      <scheme val="minor"/>
    </font>
    <font>
      <b/>
      <sz val="10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sz val="8"/>
      <color rgb="FF0000FF"/>
      <name val="Calibri"/>
      <family val="2"/>
      <charset val="204"/>
      <scheme val="minor"/>
    </font>
    <font>
      <b/>
      <i/>
      <sz val="11"/>
      <color theme="10"/>
      <name val="Arial Cyr"/>
      <charset val="204"/>
    </font>
    <font>
      <sz val="8"/>
      <color rgb="FF0000FF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Helv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b/>
      <sz val="12"/>
      <color theme="0" tint="-0.249977111117893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0">
    <xf numFmtId="0" fontId="0" fillId="0" borderId="0"/>
    <xf numFmtId="0" fontId="3" fillId="0" borderId="0"/>
    <xf numFmtId="0" fontId="3" fillId="0" borderId="0"/>
    <xf numFmtId="0" fontId="39" fillId="0" borderId="1">
      <alignment horizontal="left" vertical="center"/>
    </xf>
    <xf numFmtId="0" fontId="39" fillId="0" borderId="2">
      <alignment horizontal="right" vertical="center"/>
    </xf>
    <xf numFmtId="0" fontId="40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2" fillId="0" borderId="0"/>
    <xf numFmtId="0" fontId="7" fillId="0" borderId="0"/>
    <xf numFmtId="0" fontId="6" fillId="0" borderId="0"/>
    <xf numFmtId="0" fontId="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3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4" fillId="0" borderId="0"/>
    <xf numFmtId="0" fontId="39" fillId="0" borderId="1">
      <alignment horizontal="lef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65" fillId="0" borderId="0" applyFont="0" applyFill="0" applyBorder="0" applyAlignment="0" applyProtection="0"/>
  </cellStyleXfs>
  <cellXfs count="1151">
    <xf numFmtId="0" fontId="0" fillId="0" borderId="0" xfId="0"/>
    <xf numFmtId="4" fontId="9" fillId="0" borderId="3" xfId="36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168" fontId="11" fillId="0" borderId="0" xfId="0" applyNumberFormat="1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 applyProtection="1">
      <alignment vertical="center" wrapText="1"/>
      <protection locked="0"/>
    </xf>
    <xf numFmtId="2" fontId="9" fillId="0" borderId="0" xfId="33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Border="1" applyAlignment="1">
      <alignment horizontal="left" wrapText="1"/>
    </xf>
    <xf numFmtId="168" fontId="11" fillId="2" borderId="0" xfId="0" applyNumberFormat="1" applyFont="1" applyFill="1" applyBorder="1" applyAlignment="1">
      <alignment horizontal="center" wrapText="1"/>
    </xf>
    <xf numFmtId="0" fontId="7" fillId="2" borderId="0" xfId="0" applyFont="1" applyFill="1"/>
    <xf numFmtId="168" fontId="9" fillId="0" borderId="0" xfId="0" applyNumberFormat="1" applyFont="1" applyFill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1" fillId="0" borderId="0" xfId="0" applyNumberFormat="1" applyFont="1" applyFill="1" applyBorder="1" applyAlignment="1" applyProtection="1">
      <alignment vertical="center" wrapText="1"/>
      <protection locked="0"/>
    </xf>
    <xf numFmtId="0" fontId="12" fillId="0" borderId="7" xfId="29" applyFont="1" applyFill="1" applyBorder="1" applyAlignment="1">
      <alignment horizontal="centerContinuous" vertical="center" wrapText="1"/>
    </xf>
    <xf numFmtId="4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2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9" xfId="29" applyFont="1" applyFill="1" applyBorder="1" applyAlignment="1">
      <alignment horizontal="centerContinuous" vertical="center" wrapText="1"/>
    </xf>
    <xf numFmtId="0" fontId="9" fillId="0" borderId="7" xfId="0" applyFont="1" applyFill="1" applyBorder="1" applyAlignment="1">
      <alignment horizontal="center" vertical="center"/>
    </xf>
    <xf numFmtId="0" fontId="11" fillId="0" borderId="10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7" xfId="0" applyFont="1" applyFill="1" applyBorder="1" applyAlignment="1" applyProtection="1">
      <alignment vertical="center"/>
      <protection locked="0"/>
    </xf>
    <xf numFmtId="0" fontId="11" fillId="0" borderId="11" xfId="0" applyFont="1" applyFill="1" applyBorder="1" applyAlignment="1" applyProtection="1">
      <alignment vertical="center"/>
      <protection locked="0"/>
    </xf>
    <xf numFmtId="168" fontId="11" fillId="0" borderId="10" xfId="0" applyNumberFormat="1" applyFont="1" applyFill="1" applyBorder="1" applyAlignment="1" applyProtection="1">
      <alignment horizontal="center" vertical="top" wrapText="1"/>
      <protection locked="0"/>
    </xf>
    <xf numFmtId="4" fontId="9" fillId="0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10" xfId="0" quotePrefix="1" applyFont="1" applyFill="1" applyBorder="1" applyAlignment="1" applyProtection="1">
      <alignment horizontal="left" vertical="top" wrapText="1"/>
      <protection locked="0"/>
    </xf>
    <xf numFmtId="2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4" fontId="11" fillId="0" borderId="12" xfId="0" applyNumberFormat="1" applyFont="1" applyFill="1" applyBorder="1" applyAlignment="1" applyProtection="1">
      <alignment horizontal="center" vertical="center"/>
      <protection locked="0"/>
    </xf>
    <xf numFmtId="0" fontId="9" fillId="0" borderId="13" xfId="1" applyFont="1" applyFill="1" applyBorder="1" applyAlignment="1" applyProtection="1">
      <alignment horizontal="center" vertical="center" wrapText="1"/>
      <protection locked="0"/>
    </xf>
    <xf numFmtId="0" fontId="11" fillId="0" borderId="14" xfId="36" applyFont="1" applyFill="1" applyBorder="1" applyAlignment="1">
      <alignment horizontal="left" vertical="center"/>
    </xf>
    <xf numFmtId="0" fontId="11" fillId="0" borderId="14" xfId="36" applyFont="1" applyFill="1" applyBorder="1" applyAlignment="1">
      <alignment horizontal="center" vertical="center"/>
    </xf>
    <xf numFmtId="0" fontId="9" fillId="0" borderId="15" xfId="1" applyFont="1" applyFill="1" applyBorder="1" applyAlignment="1" applyProtection="1">
      <alignment horizontal="center" vertical="center" wrapText="1"/>
      <protection locked="0"/>
    </xf>
    <xf numFmtId="0" fontId="9" fillId="0" borderId="16" xfId="1" applyFont="1" applyFill="1" applyBorder="1" applyAlignment="1" applyProtection="1">
      <alignment horizontal="center" vertical="center" wrapText="1"/>
      <protection locked="0"/>
    </xf>
    <xf numFmtId="0" fontId="11" fillId="0" borderId="17" xfId="36" applyFont="1" applyFill="1" applyBorder="1" applyAlignment="1">
      <alignment horizontal="left" vertical="center"/>
    </xf>
    <xf numFmtId="0" fontId="11" fillId="0" borderId="17" xfId="36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0" fontId="9" fillId="0" borderId="18" xfId="1" applyFont="1" applyFill="1" applyBorder="1" applyAlignment="1" applyProtection="1">
      <alignment horizontal="center" vertical="center" wrapText="1"/>
      <protection locked="0"/>
    </xf>
    <xf numFmtId="0" fontId="11" fillId="0" borderId="19" xfId="36" applyFont="1" applyFill="1" applyBorder="1" applyAlignment="1">
      <alignment horizontal="left" vertical="center"/>
    </xf>
    <xf numFmtId="0" fontId="11" fillId="0" borderId="19" xfId="36" applyFont="1" applyFill="1" applyBorder="1" applyAlignment="1">
      <alignment horizontal="center" vertical="center"/>
    </xf>
    <xf numFmtId="0" fontId="9" fillId="0" borderId="20" xfId="1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vertical="center" wrapText="1"/>
    </xf>
    <xf numFmtId="2" fontId="9" fillId="0" borderId="22" xfId="0" applyNumberFormat="1" applyFont="1" applyFill="1" applyBorder="1" applyAlignment="1" applyProtection="1">
      <alignment vertical="center"/>
      <protection locked="0"/>
    </xf>
    <xf numFmtId="0" fontId="9" fillId="0" borderId="23" xfId="36" applyFont="1" applyBorder="1" applyAlignment="1" applyProtection="1">
      <alignment horizontal="center" vertical="center"/>
      <protection locked="0"/>
    </xf>
    <xf numFmtId="4" fontId="9" fillId="2" borderId="17" xfId="31" applyNumberFormat="1" applyFont="1" applyFill="1" applyBorder="1" applyAlignment="1">
      <alignment horizontal="center" vertical="center" wrapText="1"/>
    </xf>
    <xf numFmtId="0" fontId="9" fillId="0" borderId="17" xfId="36" applyFont="1" applyFill="1" applyBorder="1" applyAlignment="1" applyProtection="1">
      <alignment horizontal="center" vertical="center" wrapText="1"/>
      <protection locked="0"/>
    </xf>
    <xf numFmtId="0" fontId="9" fillId="0" borderId="0" xfId="36" applyFont="1" applyFill="1" applyAlignment="1">
      <alignment vertical="center"/>
    </xf>
    <xf numFmtId="0" fontId="9" fillId="0" borderId="0" xfId="36" applyFont="1" applyFill="1" applyBorder="1" applyAlignment="1" applyProtection="1">
      <alignment vertical="center"/>
      <protection locked="0"/>
    </xf>
    <xf numFmtId="0" fontId="9" fillId="0" borderId="24" xfId="36" applyFont="1" applyBorder="1" applyAlignment="1" applyProtection="1">
      <alignment horizontal="center" vertical="center"/>
      <protection locked="0"/>
    </xf>
    <xf numFmtId="4" fontId="9" fillId="2" borderId="19" xfId="31" applyNumberFormat="1" applyFont="1" applyFill="1" applyBorder="1" applyAlignment="1">
      <alignment horizontal="center" vertical="center" wrapText="1"/>
    </xf>
    <xf numFmtId="0" fontId="9" fillId="0" borderId="7" xfId="36" applyFont="1" applyFill="1" applyBorder="1" applyAlignment="1">
      <alignment vertical="center"/>
    </xf>
    <xf numFmtId="4" fontId="11" fillId="0" borderId="25" xfId="36" applyNumberFormat="1" applyFont="1" applyFill="1" applyBorder="1" applyAlignment="1">
      <alignment horizontal="center" vertical="center"/>
    </xf>
    <xf numFmtId="0" fontId="3" fillId="0" borderId="0" xfId="0" applyFont="1" applyFill="1"/>
    <xf numFmtId="0" fontId="9" fillId="0" borderId="0" xfId="0" applyFont="1" applyFill="1"/>
    <xf numFmtId="0" fontId="11" fillId="0" borderId="9" xfId="0" applyFont="1" applyFill="1" applyBorder="1" applyAlignment="1" applyProtection="1">
      <alignment vertical="center"/>
      <protection locked="0"/>
    </xf>
    <xf numFmtId="2" fontId="11" fillId="0" borderId="11" xfId="0" applyNumberFormat="1" applyFont="1" applyFill="1" applyBorder="1" applyAlignment="1" applyProtection="1">
      <alignment vertical="center"/>
      <protection locked="0"/>
    </xf>
    <xf numFmtId="168" fontId="11" fillId="0" borderId="26" xfId="0" applyNumberFormat="1" applyFont="1" applyFill="1" applyBorder="1" applyAlignment="1" applyProtection="1">
      <alignment horizontal="center" vertical="center"/>
      <protection locked="0"/>
    </xf>
    <xf numFmtId="2" fontId="11" fillId="0" borderId="26" xfId="0" applyNumberFormat="1" applyFont="1" applyFill="1" applyBorder="1" applyAlignment="1" applyProtection="1">
      <alignment vertical="center"/>
      <protection locked="0"/>
    </xf>
    <xf numFmtId="0" fontId="9" fillId="0" borderId="0" xfId="36" applyFont="1" applyBorder="1" applyAlignment="1" applyProtection="1">
      <alignment vertical="center"/>
      <protection locked="0"/>
    </xf>
    <xf numFmtId="4" fontId="9" fillId="0" borderId="0" xfId="36" applyNumberFormat="1" applyFont="1" applyBorder="1" applyAlignment="1" applyProtection="1">
      <alignment vertical="center"/>
      <protection locked="0"/>
    </xf>
    <xf numFmtId="0" fontId="9" fillId="0" borderId="0" xfId="36" quotePrefix="1" applyFont="1" applyBorder="1" applyAlignment="1" applyProtection="1">
      <alignment horizontal="left" vertical="center" wrapText="1"/>
      <protection locked="0"/>
    </xf>
    <xf numFmtId="2" fontId="9" fillId="0" borderId="0" xfId="36" applyNumberFormat="1" applyFont="1" applyBorder="1" applyAlignment="1" applyProtection="1">
      <alignment horizontal="center" vertical="center" wrapText="1"/>
      <protection locked="0"/>
    </xf>
    <xf numFmtId="0" fontId="9" fillId="0" borderId="0" xfId="36" applyFont="1" applyBorder="1" applyAlignment="1" applyProtection="1">
      <alignment horizontal="left" vertical="top" wrapText="1"/>
      <protection locked="0"/>
    </xf>
    <xf numFmtId="170" fontId="9" fillId="0" borderId="0" xfId="36" applyNumberFormat="1" applyFont="1" applyBorder="1" applyAlignment="1" applyProtection="1">
      <alignment horizontal="right" vertical="center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/>
    <xf numFmtId="2" fontId="11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0" xfId="0" applyNumberFormat="1" applyFont="1" applyFill="1" applyBorder="1" applyAlignment="1" applyProtection="1">
      <alignment horizontal="center" vertical="center"/>
      <protection locked="0"/>
    </xf>
    <xf numFmtId="4" fontId="11" fillId="0" borderId="0" xfId="0" applyNumberFormat="1" applyFont="1" applyFill="1" applyBorder="1" applyAlignment="1">
      <alignment horizontal="center" vertical="center"/>
    </xf>
    <xf numFmtId="4" fontId="11" fillId="0" borderId="3" xfId="36" applyNumberFormat="1" applyFont="1" applyFill="1" applyBorder="1" applyAlignment="1">
      <alignment horizontal="right" vertical="center" wrapText="1"/>
    </xf>
    <xf numFmtId="0" fontId="9" fillId="0" borderId="23" xfId="36" applyFont="1" applyFill="1" applyBorder="1" applyAlignment="1">
      <alignment horizontal="center" vertical="center" wrapText="1"/>
    </xf>
    <xf numFmtId="0" fontId="9" fillId="0" borderId="17" xfId="36" applyFont="1" applyFill="1" applyBorder="1" applyAlignment="1" applyProtection="1">
      <alignment horizontal="left" vertical="top" wrapText="1"/>
      <protection locked="0"/>
    </xf>
    <xf numFmtId="0" fontId="9" fillId="0" borderId="17" xfId="36" applyFont="1" applyFill="1" applyBorder="1" applyAlignment="1" applyProtection="1">
      <alignment horizontal="left" vertical="center" wrapText="1"/>
      <protection locked="0"/>
    </xf>
    <xf numFmtId="0" fontId="9" fillId="0" borderId="1" xfId="36" applyFont="1" applyFill="1" applyBorder="1" applyAlignment="1" applyProtection="1">
      <alignment horizontal="center" vertical="center" wrapText="1"/>
      <protection locked="0"/>
    </xf>
    <xf numFmtId="4" fontId="9" fillId="0" borderId="3" xfId="36" applyNumberFormat="1" applyFont="1" applyFill="1" applyBorder="1" applyAlignment="1" applyProtection="1">
      <alignment vertical="center" wrapText="1"/>
      <protection locked="0"/>
    </xf>
    <xf numFmtId="0" fontId="9" fillId="0" borderId="0" xfId="7" applyFont="1"/>
    <xf numFmtId="0" fontId="9" fillId="0" borderId="0" xfId="7" applyFont="1" applyAlignment="1">
      <alignment horizontal="center" vertical="center"/>
    </xf>
    <xf numFmtId="0" fontId="7" fillId="0" borderId="0" xfId="7" applyFont="1"/>
    <xf numFmtId="0" fontId="9" fillId="0" borderId="0" xfId="7" applyFont="1" applyBorder="1" applyAlignment="1" applyProtection="1">
      <alignment vertical="center"/>
      <protection locked="0"/>
    </xf>
    <xf numFmtId="2" fontId="9" fillId="0" borderId="0" xfId="36" applyNumberFormat="1" applyFont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/>
    </xf>
    <xf numFmtId="2" fontId="9" fillId="0" borderId="0" xfId="36" applyNumberFormat="1" applyFont="1" applyBorder="1" applyAlignment="1" applyProtection="1">
      <alignment vertical="center"/>
      <protection locked="0"/>
    </xf>
    <xf numFmtId="4" fontId="9" fillId="0" borderId="0" xfId="36" applyNumberFormat="1" applyFont="1" applyBorder="1" applyAlignment="1" applyProtection="1">
      <alignment horizontal="center" vertical="center"/>
      <protection locked="0"/>
    </xf>
    <xf numFmtId="0" fontId="42" fillId="0" borderId="17" xfId="36" applyFont="1" applyBorder="1" applyAlignment="1" applyProtection="1">
      <alignment horizontal="center" vertical="center" wrapText="1"/>
      <protection locked="0"/>
    </xf>
    <xf numFmtId="2" fontId="11" fillId="0" borderId="0" xfId="36" applyNumberFormat="1" applyFont="1" applyBorder="1" applyAlignment="1" applyProtection="1">
      <alignment horizontal="center" vertical="center" wrapText="1"/>
      <protection locked="0"/>
    </xf>
    <xf numFmtId="0" fontId="9" fillId="0" borderId="9" xfId="36" applyFont="1" applyFill="1" applyBorder="1"/>
    <xf numFmtId="2" fontId="11" fillId="0" borderId="10" xfId="11" applyNumberFormat="1" applyFont="1" applyFill="1" applyBorder="1" applyAlignment="1" applyProtection="1">
      <alignment vertical="center" wrapText="1"/>
      <protection locked="0"/>
    </xf>
    <xf numFmtId="0" fontId="9" fillId="0" borderId="11" xfId="36" applyFont="1" applyBorder="1" applyAlignment="1" applyProtection="1">
      <alignment horizontal="center" vertical="center" wrapText="1"/>
      <protection locked="0"/>
    </xf>
    <xf numFmtId="4" fontId="11" fillId="0" borderId="12" xfId="36" applyNumberFormat="1" applyFont="1" applyBorder="1" applyAlignment="1" applyProtection="1">
      <alignment horizontal="right" vertical="center"/>
    </xf>
    <xf numFmtId="0" fontId="11" fillId="0" borderId="9" xfId="36" applyFont="1" applyBorder="1" applyAlignment="1" applyProtection="1">
      <alignment vertical="center"/>
      <protection locked="0"/>
    </xf>
    <xf numFmtId="2" fontId="11" fillId="0" borderId="11" xfId="36" applyNumberFormat="1" applyFont="1" applyBorder="1" applyAlignment="1" applyProtection="1">
      <alignment vertical="center"/>
      <protection locked="0"/>
    </xf>
    <xf numFmtId="2" fontId="11" fillId="0" borderId="26" xfId="36" applyNumberFormat="1" applyFont="1" applyBorder="1" applyAlignment="1" applyProtection="1">
      <alignment vertical="center"/>
      <protection locked="0"/>
    </xf>
    <xf numFmtId="4" fontId="11" fillId="0" borderId="12" xfId="36" applyNumberFormat="1" applyFont="1" applyBorder="1" applyAlignment="1" applyProtection="1">
      <alignment horizontal="right" vertical="center"/>
      <protection locked="0"/>
    </xf>
    <xf numFmtId="0" fontId="11" fillId="0" borderId="9" xfId="36" applyFont="1" applyFill="1" applyBorder="1" applyAlignment="1" applyProtection="1">
      <alignment vertical="center"/>
      <protection locked="0"/>
    </xf>
    <xf numFmtId="2" fontId="9" fillId="0" borderId="10" xfId="36" applyNumberFormat="1" applyFont="1" applyFill="1" applyBorder="1" applyAlignment="1" applyProtection="1">
      <alignment vertical="center" wrapText="1"/>
      <protection locked="0"/>
    </xf>
    <xf numFmtId="2" fontId="9" fillId="0" borderId="11" xfId="36" applyNumberFormat="1" applyFont="1" applyFill="1" applyBorder="1" applyAlignment="1" applyProtection="1">
      <alignment horizontal="center" vertical="center"/>
      <protection locked="0"/>
    </xf>
    <xf numFmtId="0" fontId="9" fillId="0" borderId="11" xfId="36" applyFont="1" applyFill="1" applyBorder="1" applyAlignment="1" applyProtection="1">
      <alignment horizontal="center" vertical="center" wrapText="1"/>
      <protection locked="0"/>
    </xf>
    <xf numFmtId="4" fontId="11" fillId="0" borderId="12" xfId="36" applyNumberFormat="1" applyFont="1" applyFill="1" applyBorder="1" applyAlignment="1" applyProtection="1">
      <alignment horizontal="right" vertical="center"/>
    </xf>
    <xf numFmtId="4" fontId="18" fillId="0" borderId="0" xfId="36" applyNumberFormat="1" applyFont="1" applyFill="1" applyBorder="1" applyAlignment="1" applyProtection="1">
      <alignment horizontal="center" vertical="center"/>
      <protection locked="0"/>
    </xf>
    <xf numFmtId="2" fontId="11" fillId="0" borderId="11" xfId="36" applyNumberFormat="1" applyFont="1" applyBorder="1" applyAlignment="1" applyProtection="1">
      <alignment horizontal="left" vertical="center"/>
      <protection locked="0"/>
    </xf>
    <xf numFmtId="2" fontId="11" fillId="0" borderId="26" xfId="36" applyNumberFormat="1" applyFont="1" applyBorder="1" applyAlignment="1" applyProtection="1">
      <alignment horizontal="left" vertical="center"/>
      <protection locked="0"/>
    </xf>
    <xf numFmtId="2" fontId="11" fillId="0" borderId="26" xfId="36" applyNumberFormat="1" applyFont="1" applyBorder="1" applyAlignment="1" applyProtection="1">
      <alignment horizontal="left" vertical="center" wrapText="1"/>
      <protection locked="0"/>
    </xf>
    <xf numFmtId="2" fontId="9" fillId="0" borderId="10" xfId="36" applyNumberFormat="1" applyFont="1" applyBorder="1" applyAlignment="1" applyProtection="1">
      <alignment horizontal="center" vertical="center"/>
      <protection locked="0"/>
    </xf>
    <xf numFmtId="4" fontId="18" fillId="0" borderId="0" xfId="36" applyNumberFormat="1" applyFont="1" applyBorder="1" applyAlignment="1" applyProtection="1">
      <alignment horizontal="left" vertical="center"/>
      <protection locked="0"/>
    </xf>
    <xf numFmtId="0" fontId="9" fillId="0" borderId="27" xfId="36" applyFont="1" applyBorder="1" applyAlignment="1" applyProtection="1">
      <alignment horizontal="center" vertical="center" wrapText="1"/>
      <protection locked="0"/>
    </xf>
    <xf numFmtId="0" fontId="11" fillId="0" borderId="0" xfId="36" applyFont="1" applyBorder="1" applyAlignment="1" applyProtection="1">
      <alignment vertical="center"/>
      <protection locked="0"/>
    </xf>
    <xf numFmtId="2" fontId="9" fillId="0" borderId="0" xfId="36" applyNumberFormat="1" applyFont="1" applyBorder="1" applyAlignment="1" applyProtection="1">
      <alignment horizontal="center" vertical="center"/>
      <protection locked="0"/>
    </xf>
    <xf numFmtId="0" fontId="9" fillId="0" borderId="0" xfId="33" applyFont="1" applyFill="1" applyBorder="1" applyAlignment="1" applyProtection="1">
      <alignment vertical="center"/>
      <protection locked="0"/>
    </xf>
    <xf numFmtId="0" fontId="9" fillId="0" borderId="0" xfId="7" applyFont="1" applyFill="1" applyAlignment="1">
      <alignment horizontal="left" vertical="center"/>
    </xf>
    <xf numFmtId="2" fontId="19" fillId="0" borderId="0" xfId="33" applyNumberFormat="1" applyFont="1" applyFill="1" applyBorder="1" applyAlignment="1" applyProtection="1">
      <alignment vertical="center"/>
      <protection locked="0"/>
    </xf>
    <xf numFmtId="0" fontId="11" fillId="0" borderId="0" xfId="7" applyFont="1" applyFill="1" applyAlignment="1">
      <alignment vertical="center" wrapText="1"/>
    </xf>
    <xf numFmtId="0" fontId="9" fillId="0" borderId="0" xfId="7" applyFont="1" applyFill="1" applyAlignment="1">
      <alignment vertical="center"/>
    </xf>
    <xf numFmtId="0" fontId="2" fillId="0" borderId="0" xfId="29" applyFont="1" applyFill="1" applyAlignment="1">
      <alignment vertical="center"/>
    </xf>
    <xf numFmtId="0" fontId="20" fillId="0" borderId="0" xfId="29" applyFont="1" applyFill="1" applyAlignment="1">
      <alignment horizontal="center" vertical="center"/>
    </xf>
    <xf numFmtId="2" fontId="20" fillId="0" borderId="0" xfId="29" applyNumberFormat="1" applyFont="1" applyFill="1" applyAlignment="1">
      <alignment horizontal="center" vertical="center"/>
    </xf>
    <xf numFmtId="0" fontId="12" fillId="0" borderId="17" xfId="29" applyFont="1" applyFill="1" applyBorder="1" applyAlignment="1">
      <alignment vertical="center"/>
    </xf>
    <xf numFmtId="2" fontId="12" fillId="0" borderId="17" xfId="29" applyNumberFormat="1" applyFont="1" applyFill="1" applyBorder="1" applyAlignment="1">
      <alignment vertical="center"/>
    </xf>
    <xf numFmtId="4" fontId="12" fillId="0" borderId="17" xfId="29" applyNumberFormat="1" applyFont="1" applyFill="1" applyBorder="1" applyAlignment="1">
      <alignment horizontal="center" vertical="center"/>
    </xf>
    <xf numFmtId="0" fontId="12" fillId="0" borderId="17" xfId="29" applyFont="1" applyFill="1" applyBorder="1" applyAlignment="1">
      <alignment vertical="center" wrapText="1"/>
    </xf>
    <xf numFmtId="0" fontId="12" fillId="0" borderId="17" xfId="29" applyFont="1" applyFill="1" applyBorder="1" applyAlignment="1">
      <alignment horizontal="center" vertical="center"/>
    </xf>
    <xf numFmtId="0" fontId="20" fillId="0" borderId="17" xfId="29" applyFont="1" applyFill="1" applyBorder="1" applyAlignment="1">
      <alignment vertical="center" wrapText="1"/>
    </xf>
    <xf numFmtId="4" fontId="20" fillId="0" borderId="17" xfId="29" applyNumberFormat="1" applyFont="1" applyFill="1" applyBorder="1" applyAlignment="1">
      <alignment vertical="center"/>
    </xf>
    <xf numFmtId="2" fontId="17" fillId="0" borderId="17" xfId="0" applyNumberFormat="1" applyFont="1" applyFill="1" applyBorder="1" applyAlignment="1" applyProtection="1">
      <alignment vertical="center" wrapText="1"/>
      <protection locked="0"/>
    </xf>
    <xf numFmtId="4" fontId="17" fillId="0" borderId="17" xfId="0" applyNumberFormat="1" applyFont="1" applyFill="1" applyBorder="1" applyAlignment="1" applyProtection="1">
      <alignment horizontal="center" vertical="center"/>
      <protection locked="0"/>
    </xf>
    <xf numFmtId="0" fontId="12" fillId="0" borderId="28" xfId="29" applyFont="1" applyFill="1" applyBorder="1" applyAlignment="1">
      <alignment vertical="center"/>
    </xf>
    <xf numFmtId="0" fontId="12" fillId="0" borderId="28" xfId="29" applyFont="1" applyFill="1" applyBorder="1" applyAlignment="1">
      <alignment vertical="center" wrapText="1"/>
    </xf>
    <xf numFmtId="2" fontId="12" fillId="0" borderId="28" xfId="29" applyNumberFormat="1" applyFont="1" applyFill="1" applyBorder="1" applyAlignment="1">
      <alignment vertical="center"/>
    </xf>
    <xf numFmtId="0" fontId="12" fillId="0" borderId="28" xfId="29" applyFont="1" applyFill="1" applyBorder="1" applyAlignment="1">
      <alignment horizontal="center" vertical="center"/>
    </xf>
    <xf numFmtId="4" fontId="12" fillId="0" borderId="28" xfId="29" applyNumberFormat="1" applyFont="1" applyFill="1" applyBorder="1" applyAlignment="1">
      <alignment vertical="center"/>
    </xf>
    <xf numFmtId="0" fontId="9" fillId="0" borderId="0" xfId="36" applyFont="1" applyBorder="1" applyAlignment="1" applyProtection="1">
      <alignment horizontal="right" vertical="center"/>
      <protection locked="0"/>
    </xf>
    <xf numFmtId="0" fontId="9" fillId="0" borderId="22" xfId="36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4" fontId="11" fillId="0" borderId="0" xfId="0" applyNumberFormat="1" applyFont="1" applyBorder="1" applyAlignment="1" applyProtection="1">
      <alignment vertical="center"/>
      <protection locked="0"/>
    </xf>
    <xf numFmtId="2" fontId="11" fillId="0" borderId="0" xfId="36" applyNumberFormat="1" applyFont="1" applyFill="1" applyBorder="1" applyAlignment="1" applyProtection="1">
      <alignment horizontal="left" vertical="center"/>
      <protection locked="0"/>
    </xf>
    <xf numFmtId="4" fontId="11" fillId="0" borderId="0" xfId="36" applyNumberFormat="1" applyFont="1" applyFill="1" applyBorder="1" applyAlignment="1" applyProtection="1">
      <alignment vertical="center"/>
      <protection locked="0"/>
    </xf>
    <xf numFmtId="0" fontId="11" fillId="0" borderId="0" xfId="36" applyFont="1" applyFill="1" applyBorder="1" applyAlignment="1" applyProtection="1">
      <alignment horizontal="righ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4" fontId="9" fillId="0" borderId="0" xfId="0" applyNumberFormat="1" applyFont="1" applyBorder="1" applyAlignment="1" applyProtection="1">
      <alignment vertical="center"/>
      <protection locked="0"/>
    </xf>
    <xf numFmtId="0" fontId="22" fillId="0" borderId="0" xfId="0" applyFont="1" applyBorder="1" applyAlignment="1" applyProtection="1">
      <alignment vertical="center"/>
      <protection locked="0"/>
    </xf>
    <xf numFmtId="2" fontId="11" fillId="0" borderId="0" xfId="36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11" fillId="0" borderId="22" xfId="36" applyNumberFormat="1" applyFont="1" applyFill="1" applyBorder="1" applyAlignment="1" applyProtection="1">
      <alignment horizontal="center" vertical="center"/>
      <protection locked="0"/>
    </xf>
    <xf numFmtId="4" fontId="11" fillId="0" borderId="22" xfId="36" applyNumberFormat="1" applyFont="1" applyFill="1" applyBorder="1" applyAlignment="1" applyProtection="1">
      <alignment horizontal="right" vertical="center"/>
      <protection locked="0"/>
    </xf>
    <xf numFmtId="4" fontId="11" fillId="0" borderId="0" xfId="36" applyNumberFormat="1" applyFont="1" applyFill="1" applyBorder="1" applyAlignment="1" applyProtection="1">
      <alignment horizontal="right" vertical="center"/>
      <protection locked="0"/>
    </xf>
    <xf numFmtId="0" fontId="12" fillId="0" borderId="0" xfId="29" applyFont="1" applyFill="1" applyAlignment="1">
      <alignment vertical="center"/>
    </xf>
    <xf numFmtId="2" fontId="12" fillId="0" borderId="0" xfId="29" applyNumberFormat="1" applyFont="1" applyFill="1" applyAlignment="1">
      <alignment vertical="center"/>
    </xf>
    <xf numFmtId="0" fontId="12" fillId="0" borderId="0" xfId="29" applyFont="1" applyFill="1" applyAlignment="1">
      <alignment horizontal="center" vertical="center"/>
    </xf>
    <xf numFmtId="0" fontId="2" fillId="0" borderId="0" xfId="0" applyFont="1"/>
    <xf numFmtId="0" fontId="11" fillId="0" borderId="7" xfId="36" applyFont="1" applyFill="1" applyBorder="1" applyAlignment="1" applyProtection="1">
      <alignment horizontal="center" vertical="center" wrapText="1"/>
      <protection locked="0"/>
    </xf>
    <xf numFmtId="0" fontId="11" fillId="0" borderId="10" xfId="36" applyFont="1" applyFill="1" applyBorder="1" applyAlignment="1" applyProtection="1">
      <alignment horizontal="center" vertical="center" wrapText="1"/>
      <protection hidden="1"/>
    </xf>
    <xf numFmtId="0" fontId="11" fillId="0" borderId="10" xfId="36" applyFont="1" applyFill="1" applyBorder="1" applyAlignment="1">
      <alignment horizontal="center" vertical="center" wrapText="1"/>
    </xf>
    <xf numFmtId="0" fontId="11" fillId="0" borderId="12" xfId="36" applyFont="1" applyFill="1" applyBorder="1" applyAlignment="1" applyProtection="1">
      <alignment horizontal="center" vertical="center" wrapText="1"/>
      <protection hidden="1"/>
    </xf>
    <xf numFmtId="4" fontId="9" fillId="0" borderId="29" xfId="36" applyNumberFormat="1" applyFont="1" applyFill="1" applyBorder="1" applyAlignment="1">
      <alignment horizontal="right" vertical="center" wrapText="1"/>
    </xf>
    <xf numFmtId="4" fontId="42" fillId="0" borderId="0" xfId="36" applyNumberFormat="1" applyFont="1" applyFill="1" applyBorder="1" applyAlignment="1">
      <alignment horizontal="center" vertical="center" wrapText="1"/>
    </xf>
    <xf numFmtId="0" fontId="9" fillId="0" borderId="17" xfId="36" applyFont="1" applyFill="1" applyBorder="1" applyAlignment="1">
      <alignment vertical="center" wrapText="1"/>
    </xf>
    <xf numFmtId="0" fontId="9" fillId="0" borderId="17" xfId="36" applyFont="1" applyFill="1" applyBorder="1" applyAlignment="1" applyProtection="1">
      <alignment vertical="center"/>
      <protection locked="0"/>
    </xf>
    <xf numFmtId="0" fontId="9" fillId="0" borderId="17" xfId="36" applyFont="1" applyFill="1" applyBorder="1" applyAlignment="1">
      <alignment horizontal="center" vertical="center"/>
    </xf>
    <xf numFmtId="0" fontId="9" fillId="0" borderId="17" xfId="36" applyFont="1" applyFill="1" applyBorder="1" applyAlignment="1">
      <alignment horizontal="left" vertical="center" wrapText="1"/>
    </xf>
    <xf numFmtId="0" fontId="9" fillId="0" borderId="28" xfId="36" applyFont="1" applyFill="1" applyBorder="1" applyAlignment="1">
      <alignment vertical="top" wrapText="1"/>
    </xf>
    <xf numFmtId="0" fontId="9" fillId="0" borderId="30" xfId="36" applyFont="1" applyFill="1" applyBorder="1" applyAlignment="1">
      <alignment vertical="center" wrapText="1"/>
    </xf>
    <xf numFmtId="4" fontId="9" fillId="0" borderId="28" xfId="36" applyNumberFormat="1" applyFont="1" applyFill="1" applyBorder="1" applyAlignment="1">
      <alignment horizontal="center" vertical="center" wrapText="1"/>
    </xf>
    <xf numFmtId="1" fontId="9" fillId="0" borderId="28" xfId="36" applyNumberFormat="1" applyFont="1" applyFill="1" applyBorder="1" applyAlignment="1">
      <alignment horizontal="center" vertical="center" wrapText="1"/>
    </xf>
    <xf numFmtId="0" fontId="9" fillId="0" borderId="17" xfId="36" applyFont="1" applyFill="1" applyBorder="1" applyAlignment="1">
      <alignment vertical="top" wrapText="1"/>
    </xf>
    <xf numFmtId="4" fontId="9" fillId="0" borderId="17" xfId="36" applyNumberFormat="1" applyFont="1" applyFill="1" applyBorder="1" applyAlignment="1">
      <alignment horizontal="center" vertical="center" wrapText="1"/>
    </xf>
    <xf numFmtId="0" fontId="9" fillId="0" borderId="17" xfId="36" applyFont="1" applyFill="1" applyBorder="1" applyAlignment="1">
      <alignment horizontal="center" vertical="center" wrapText="1"/>
    </xf>
    <xf numFmtId="0" fontId="9" fillId="0" borderId="17" xfId="36" applyFont="1" applyFill="1" applyBorder="1" applyAlignment="1" applyProtection="1">
      <alignment horizontal="center" vertical="top" wrapText="1"/>
      <protection locked="0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4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8" xfId="0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>
      <alignment horizontal="center"/>
    </xf>
    <xf numFmtId="4" fontId="42" fillId="0" borderId="0" xfId="36" applyNumberFormat="1" applyFont="1" applyBorder="1" applyAlignment="1" applyProtection="1">
      <alignment vertical="center"/>
      <protection locked="0"/>
    </xf>
    <xf numFmtId="0" fontId="42" fillId="0" borderId="0" xfId="36" applyFont="1" applyBorder="1" applyAlignment="1" applyProtection="1">
      <alignment vertical="center"/>
      <protection locked="0"/>
    </xf>
    <xf numFmtId="0" fontId="44" fillId="0" borderId="17" xfId="23" applyFont="1" applyBorder="1" applyAlignment="1">
      <alignment horizontal="center" vertical="center"/>
    </xf>
    <xf numFmtId="169" fontId="9" fillId="0" borderId="0" xfId="0" applyNumberFormat="1" applyFont="1" applyFill="1"/>
    <xf numFmtId="0" fontId="40" fillId="0" borderId="0" xfId="5" applyFont="1"/>
    <xf numFmtId="0" fontId="44" fillId="0" borderId="17" xfId="23" applyFont="1" applyBorder="1" applyAlignment="1">
      <alignment horizontal="left" vertical="top" wrapText="1"/>
    </xf>
    <xf numFmtId="169" fontId="45" fillId="0" borderId="28" xfId="23" applyNumberFormat="1" applyFont="1" applyFill="1" applyBorder="1" applyAlignment="1">
      <alignment horizontal="center" vertical="center"/>
    </xf>
    <xf numFmtId="0" fontId="46" fillId="0" borderId="0" xfId="23" applyFont="1"/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vertical="center" wrapText="1"/>
      <protection locked="0"/>
    </xf>
    <xf numFmtId="2" fontId="9" fillId="0" borderId="31" xfId="0" applyNumberFormat="1" applyFont="1" applyFill="1" applyBorder="1" applyAlignment="1" applyProtection="1">
      <alignment horizontal="center" vertical="center"/>
      <protection locked="0"/>
    </xf>
    <xf numFmtId="4" fontId="9" fillId="0" borderId="32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33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>
      <alignment horizontal="left" vertical="center" wrapText="1"/>
    </xf>
    <xf numFmtId="4" fontId="11" fillId="0" borderId="33" xfId="0" applyNumberFormat="1" applyFont="1" applyFill="1" applyBorder="1" applyAlignment="1" applyProtection="1">
      <alignment horizontal="right" vertical="center"/>
      <protection locked="0"/>
    </xf>
    <xf numFmtId="4" fontId="11" fillId="0" borderId="12" xfId="0" applyNumberFormat="1" applyFont="1" applyFill="1" applyBorder="1" applyAlignment="1" applyProtection="1">
      <alignment horizontal="right" vertical="center"/>
      <protection locked="0"/>
    </xf>
    <xf numFmtId="0" fontId="47" fillId="0" borderId="0" xfId="23" applyFont="1" applyAlignment="1">
      <alignment horizontal="left"/>
    </xf>
    <xf numFmtId="0" fontId="9" fillId="0" borderId="10" xfId="0" applyFont="1" applyFill="1" applyBorder="1" applyAlignment="1" applyProtection="1">
      <alignment horizontal="left" vertical="center" wrapText="1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36" applyFont="1" applyBorder="1" applyAlignment="1" applyProtection="1">
      <alignment horizontal="center" vertical="center"/>
      <protection locked="0"/>
    </xf>
    <xf numFmtId="0" fontId="21" fillId="0" borderId="0" xfId="29" applyFont="1" applyFill="1" applyBorder="1" applyAlignment="1">
      <alignment horizontal="center" vertical="center" wrapText="1"/>
    </xf>
    <xf numFmtId="0" fontId="9" fillId="0" borderId="0" xfId="36" applyFont="1" applyBorder="1" applyAlignment="1" applyProtection="1">
      <alignment horizontal="left" vertical="center"/>
      <protection locked="0"/>
    </xf>
    <xf numFmtId="0" fontId="9" fillId="0" borderId="0" xfId="36" applyFont="1" applyBorder="1" applyAlignment="1" applyProtection="1">
      <alignment horizontal="center" vertical="center"/>
      <protection locked="0"/>
    </xf>
    <xf numFmtId="2" fontId="9" fillId="0" borderId="32" xfId="0" applyNumberFormat="1" applyFont="1" applyFill="1" applyBorder="1" applyAlignment="1" applyProtection="1">
      <alignment horizontal="center" vertical="center"/>
      <protection locked="0"/>
    </xf>
    <xf numFmtId="0" fontId="48" fillId="0" borderId="0" xfId="0" applyFont="1" applyFill="1" applyBorder="1" applyAlignment="1" applyProtection="1">
      <alignment vertical="center" wrapText="1"/>
      <protection locked="0"/>
    </xf>
    <xf numFmtId="0" fontId="49" fillId="2" borderId="0" xfId="0" applyFont="1" applyFill="1"/>
    <xf numFmtId="2" fontId="48" fillId="0" borderId="0" xfId="0" applyNumberFormat="1" applyFont="1" applyFill="1" applyBorder="1" applyAlignment="1" applyProtection="1">
      <alignment vertical="center" wrapText="1"/>
      <protection locked="0"/>
    </xf>
    <xf numFmtId="0" fontId="42" fillId="0" borderId="0" xfId="0" applyFont="1" applyFill="1" applyBorder="1" applyAlignment="1" applyProtection="1">
      <alignment vertical="center"/>
      <protection locked="0"/>
    </xf>
    <xf numFmtId="0" fontId="42" fillId="0" borderId="0" xfId="36" applyFont="1" applyFill="1" applyAlignment="1">
      <alignment vertical="center"/>
    </xf>
    <xf numFmtId="0" fontId="42" fillId="0" borderId="0" xfId="36" applyFont="1" applyFill="1" applyBorder="1" applyAlignment="1" applyProtection="1">
      <alignment vertical="center"/>
      <protection locked="0"/>
    </xf>
    <xf numFmtId="0" fontId="50" fillId="0" borderId="0" xfId="0" applyFont="1" applyFill="1"/>
    <xf numFmtId="4" fontId="9" fillId="0" borderId="34" xfId="36" applyNumberFormat="1" applyFont="1" applyFill="1" applyBorder="1" applyAlignment="1">
      <alignment horizontal="center" vertical="center"/>
    </xf>
    <xf numFmtId="4" fontId="9" fillId="0" borderId="35" xfId="36" applyNumberFormat="1" applyFont="1" applyFill="1" applyBorder="1" applyAlignment="1">
      <alignment horizontal="center" vertical="center"/>
    </xf>
    <xf numFmtId="4" fontId="9" fillId="0" borderId="36" xfId="36" applyNumberFormat="1" applyFont="1" applyFill="1" applyBorder="1" applyAlignment="1">
      <alignment horizontal="center" vertical="center"/>
    </xf>
    <xf numFmtId="0" fontId="0" fillId="0" borderId="0" xfId="0" applyFont="1"/>
    <xf numFmtId="2" fontId="12" fillId="0" borderId="17" xfId="29" applyNumberFormat="1" applyFont="1" applyFill="1" applyBorder="1" applyAlignment="1">
      <alignment horizontal="center" vertical="center"/>
    </xf>
    <xf numFmtId="0" fontId="51" fillId="0" borderId="17" xfId="23" applyFont="1" applyBorder="1" applyAlignment="1">
      <alignment horizontal="center" vertical="center" wrapText="1"/>
    </xf>
    <xf numFmtId="0" fontId="52" fillId="0" borderId="17" xfId="23" applyFont="1" applyBorder="1" applyAlignment="1">
      <alignment horizontal="center" vertical="center" wrapText="1"/>
    </xf>
    <xf numFmtId="169" fontId="52" fillId="0" borderId="17" xfId="23" applyNumberFormat="1" applyFont="1" applyBorder="1" applyAlignment="1">
      <alignment horizontal="center" vertical="center" wrapText="1"/>
    </xf>
    <xf numFmtId="0" fontId="51" fillId="0" borderId="17" xfId="23" applyFont="1" applyBorder="1" applyAlignment="1">
      <alignment horizontal="center" vertical="center"/>
    </xf>
    <xf numFmtId="172" fontId="53" fillId="0" borderId="8" xfId="0" applyNumberFormat="1" applyFont="1" applyFill="1" applyBorder="1" applyAlignment="1" applyProtection="1">
      <alignment horizontal="right" vertical="center"/>
      <protection locked="0"/>
    </xf>
    <xf numFmtId="169" fontId="2" fillId="0" borderId="0" xfId="0" applyNumberFormat="1" applyFont="1"/>
    <xf numFmtId="0" fontId="54" fillId="0" borderId="1" xfId="23" applyFont="1" applyBorder="1" applyAlignment="1">
      <alignment horizontal="center" vertical="center" wrapText="1"/>
    </xf>
    <xf numFmtId="0" fontId="54" fillId="0" borderId="37" xfId="23" applyFont="1" applyBorder="1" applyAlignment="1">
      <alignment horizontal="center" vertical="center" wrapText="1"/>
    </xf>
    <xf numFmtId="0" fontId="54" fillId="0" borderId="2" xfId="23" applyFont="1" applyBorder="1" applyAlignment="1">
      <alignment horizontal="center" vertical="center" wrapText="1"/>
    </xf>
    <xf numFmtId="0" fontId="55" fillId="0" borderId="0" xfId="5" applyFont="1"/>
    <xf numFmtId="4" fontId="11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 wrapText="1"/>
    </xf>
    <xf numFmtId="4" fontId="11" fillId="0" borderId="35" xfId="0" applyNumberFormat="1" applyFont="1" applyFill="1" applyBorder="1" applyAlignment="1">
      <alignment horizontal="center" vertical="center"/>
    </xf>
    <xf numFmtId="4" fontId="9" fillId="0" borderId="3" xfId="36" applyNumberFormat="1" applyFont="1" applyFill="1" applyBorder="1" applyAlignment="1" applyProtection="1">
      <alignment horizontal="center" vertical="center" wrapText="1"/>
      <protection locked="0"/>
    </xf>
    <xf numFmtId="168" fontId="9" fillId="0" borderId="17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 applyProtection="1">
      <alignment horizontal="center" vertical="center"/>
      <protection locked="0"/>
    </xf>
    <xf numFmtId="4" fontId="9" fillId="0" borderId="14" xfId="0" applyNumberFormat="1" applyFont="1" applyFill="1" applyBorder="1" applyAlignment="1" applyProtection="1">
      <alignment vertical="center"/>
      <protection locked="0"/>
    </xf>
    <xf numFmtId="4" fontId="9" fillId="0" borderId="38" xfId="0" applyNumberFormat="1" applyFont="1" applyFill="1" applyBorder="1" applyAlignment="1" applyProtection="1">
      <alignment horizontal="center" vertical="center"/>
      <protection locked="0"/>
    </xf>
    <xf numFmtId="2" fontId="9" fillId="0" borderId="5" xfId="0" applyNumberFormat="1" applyFont="1" applyFill="1" applyBorder="1" applyAlignment="1" applyProtection="1">
      <alignment horizontal="center"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/>
      <protection locked="0"/>
    </xf>
    <xf numFmtId="2" fontId="9" fillId="0" borderId="17" xfId="0" applyNumberFormat="1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vertical="center"/>
      <protection locked="0"/>
    </xf>
    <xf numFmtId="2" fontId="9" fillId="0" borderId="3" xfId="0" applyNumberFormat="1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 applyProtection="1">
      <alignment vertical="center" wrapText="1"/>
      <protection locked="0"/>
    </xf>
    <xf numFmtId="168" fontId="11" fillId="0" borderId="14" xfId="0" applyNumberFormat="1" applyFont="1" applyFill="1" applyBorder="1" applyAlignment="1">
      <alignment horizontal="center" vertical="center"/>
    </xf>
    <xf numFmtId="4" fontId="9" fillId="0" borderId="40" xfId="0" applyNumberFormat="1" applyFont="1" applyFill="1" applyBorder="1" applyAlignment="1" applyProtection="1">
      <alignment horizontal="center" vertical="center"/>
      <protection locked="0"/>
    </xf>
    <xf numFmtId="168" fontId="11" fillId="0" borderId="17" xfId="0" applyNumberFormat="1" applyFont="1" applyFill="1" applyBorder="1" applyAlignment="1" applyProtection="1">
      <alignment horizontal="center" vertical="top" wrapText="1"/>
      <protection locked="0"/>
    </xf>
    <xf numFmtId="0" fontId="9" fillId="0" borderId="41" xfId="0" applyFont="1" applyFill="1" applyBorder="1" applyAlignment="1" applyProtection="1">
      <alignment horizontal="right" vertical="center" wrapText="1"/>
      <protection locked="0"/>
    </xf>
    <xf numFmtId="0" fontId="9" fillId="0" borderId="17" xfId="0" applyFont="1" applyFill="1" applyBorder="1" applyAlignment="1" applyProtection="1">
      <alignment horizontal="center" vertical="center" wrapText="1" shrinkToFit="1"/>
      <protection locked="0"/>
    </xf>
    <xf numFmtId="0" fontId="9" fillId="0" borderId="42" xfId="0" applyFont="1" applyFill="1" applyBorder="1" applyAlignment="1" applyProtection="1">
      <alignment vertical="center" wrapText="1"/>
      <protection locked="0"/>
    </xf>
    <xf numFmtId="2" fontId="9" fillId="0" borderId="42" xfId="0" applyNumberFormat="1" applyFont="1" applyFill="1" applyBorder="1" applyAlignment="1" applyProtection="1">
      <alignment horizontal="center" vertical="center"/>
      <protection locked="0"/>
    </xf>
    <xf numFmtId="4" fontId="5" fillId="0" borderId="0" xfId="0" applyNumberFormat="1" applyFont="1" applyFill="1" applyBorder="1" applyAlignment="1" applyProtection="1">
      <alignment horizontal="center" vertical="center"/>
      <protection locked="0"/>
    </xf>
    <xf numFmtId="4" fontId="9" fillId="0" borderId="6" xfId="36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 applyProtection="1">
      <alignment vertical="center"/>
      <protection locked="0"/>
    </xf>
    <xf numFmtId="0" fontId="11" fillId="0" borderId="0" xfId="36" applyFont="1" applyFill="1" applyBorder="1" applyAlignment="1" applyProtection="1">
      <alignment vertical="center"/>
      <protection locked="0"/>
    </xf>
    <xf numFmtId="2" fontId="9" fillId="0" borderId="0" xfId="36" applyNumberFormat="1" applyFont="1" applyFill="1" applyBorder="1" applyAlignment="1" applyProtection="1">
      <alignment vertical="center"/>
      <protection locked="0"/>
    </xf>
    <xf numFmtId="0" fontId="9" fillId="0" borderId="0" xfId="36" applyFont="1" applyFill="1" applyBorder="1" applyAlignment="1" applyProtection="1">
      <alignment horizontal="center" vertical="center"/>
      <protection locked="0"/>
    </xf>
    <xf numFmtId="4" fontId="9" fillId="0" borderId="0" xfId="36" applyNumberFormat="1" applyFont="1" applyFill="1" applyBorder="1" applyAlignment="1" applyProtection="1">
      <alignment horizontal="center" vertical="center"/>
      <protection locked="0"/>
    </xf>
    <xf numFmtId="2" fontId="11" fillId="0" borderId="0" xfId="36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36" applyNumberFormat="1" applyFont="1" applyFill="1" applyAlignment="1">
      <alignment vertical="center"/>
    </xf>
    <xf numFmtId="0" fontId="9" fillId="0" borderId="0" xfId="36" applyFont="1" applyFill="1" applyAlignment="1">
      <alignment horizontal="center" vertical="center"/>
    </xf>
    <xf numFmtId="0" fontId="9" fillId="0" borderId="7" xfId="36" applyFont="1" applyFill="1" applyBorder="1" applyAlignment="1" applyProtection="1">
      <alignment horizontal="center" vertical="center" wrapText="1"/>
      <protection locked="0"/>
    </xf>
    <xf numFmtId="0" fontId="9" fillId="0" borderId="10" xfId="36" applyFont="1" applyFill="1" applyBorder="1" applyAlignment="1" applyProtection="1">
      <alignment horizontal="center" vertical="center" wrapText="1"/>
      <protection locked="0"/>
    </xf>
    <xf numFmtId="3" fontId="9" fillId="0" borderId="10" xfId="36" applyNumberFormat="1" applyFont="1" applyFill="1" applyBorder="1" applyAlignment="1" applyProtection="1">
      <alignment horizontal="center" vertical="center" wrapText="1"/>
      <protection locked="0"/>
    </xf>
    <xf numFmtId="3" fontId="9" fillId="0" borderId="12" xfId="36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36" applyFont="1" applyFill="1" applyBorder="1" applyAlignment="1">
      <alignment horizontal="right" vertical="center" wrapText="1"/>
    </xf>
    <xf numFmtId="0" fontId="42" fillId="0" borderId="0" xfId="36" applyFont="1" applyFill="1" applyBorder="1" applyAlignment="1">
      <alignment horizontal="center" vertical="center" wrapText="1"/>
    </xf>
    <xf numFmtId="2" fontId="11" fillId="0" borderId="17" xfId="36" applyNumberFormat="1" applyFont="1" applyFill="1" applyBorder="1" applyAlignment="1">
      <alignment horizontal="left" vertical="center" wrapText="1"/>
    </xf>
    <xf numFmtId="2" fontId="11" fillId="0" borderId="17" xfId="36" applyNumberFormat="1" applyFont="1" applyFill="1" applyBorder="1" applyAlignment="1">
      <alignment horizontal="center" vertical="center" wrapText="1"/>
    </xf>
    <xf numFmtId="0" fontId="42" fillId="0" borderId="0" xfId="0" applyFont="1" applyFill="1" applyBorder="1"/>
    <xf numFmtId="0" fontId="9" fillId="0" borderId="28" xfId="36" applyFont="1" applyFill="1" applyBorder="1" applyAlignment="1">
      <alignment vertical="center" wrapText="1"/>
    </xf>
    <xf numFmtId="0" fontId="9" fillId="0" borderId="5" xfId="36" applyFont="1" applyFill="1" applyBorder="1" applyAlignment="1">
      <alignment vertical="top" wrapText="1"/>
    </xf>
    <xf numFmtId="0" fontId="9" fillId="0" borderId="43" xfId="36" applyFont="1" applyFill="1" applyBorder="1" applyAlignment="1">
      <alignment horizontal="left" vertical="center" wrapText="1"/>
    </xf>
    <xf numFmtId="4" fontId="9" fillId="0" borderId="5" xfId="36" applyNumberFormat="1" applyFont="1" applyFill="1" applyBorder="1" applyAlignment="1">
      <alignment horizontal="center" vertical="center" wrapText="1"/>
    </xf>
    <xf numFmtId="0" fontId="9" fillId="0" borderId="5" xfId="36" applyFont="1" applyFill="1" applyBorder="1" applyAlignment="1">
      <alignment horizontal="left" vertical="center" wrapText="1"/>
    </xf>
    <xf numFmtId="1" fontId="9" fillId="0" borderId="5" xfId="36" applyNumberFormat="1" applyFont="1" applyFill="1" applyBorder="1" applyAlignment="1">
      <alignment horizontal="center" vertical="center" wrapText="1"/>
    </xf>
    <xf numFmtId="0" fontId="9" fillId="0" borderId="21" xfId="36" applyFont="1" applyFill="1" applyBorder="1" applyAlignment="1">
      <alignment horizontal="center" vertical="center" wrapText="1"/>
    </xf>
    <xf numFmtId="0" fontId="11" fillId="0" borderId="1" xfId="36" applyFont="1" applyFill="1" applyBorder="1" applyAlignment="1">
      <alignment vertical="top"/>
    </xf>
    <xf numFmtId="0" fontId="9" fillId="0" borderId="37" xfId="36" applyFont="1" applyFill="1" applyBorder="1" applyAlignment="1">
      <alignment horizontal="left" vertical="center" wrapText="1"/>
    </xf>
    <xf numFmtId="4" fontId="9" fillId="0" borderId="37" xfId="36" applyNumberFormat="1" applyFont="1" applyFill="1" applyBorder="1" applyAlignment="1">
      <alignment horizontal="center" vertical="center" wrapText="1"/>
    </xf>
    <xf numFmtId="1" fontId="9" fillId="0" borderId="37" xfId="36" applyNumberFormat="1" applyFont="1" applyFill="1" applyBorder="1" applyAlignment="1">
      <alignment horizontal="center" vertical="center" wrapText="1"/>
    </xf>
    <xf numFmtId="0" fontId="9" fillId="0" borderId="2" xfId="36" applyFont="1" applyFill="1" applyBorder="1" applyAlignment="1">
      <alignment horizontal="center" vertical="center" wrapText="1"/>
    </xf>
    <xf numFmtId="0" fontId="9" fillId="0" borderId="30" xfId="36" applyFont="1" applyFill="1" applyBorder="1" applyAlignment="1">
      <alignment horizontal="left" vertical="center" wrapText="1"/>
    </xf>
    <xf numFmtId="167" fontId="42" fillId="0" borderId="0" xfId="0" applyNumberFormat="1" applyFont="1" applyFill="1"/>
    <xf numFmtId="0" fontId="9" fillId="0" borderId="23" xfId="36" applyFont="1" applyFill="1" applyBorder="1" applyAlignment="1">
      <alignment horizontal="right" vertical="center" wrapText="1"/>
    </xf>
    <xf numFmtId="16" fontId="9" fillId="0" borderId="23" xfId="36" applyNumberFormat="1" applyFont="1" applyFill="1" applyBorder="1" applyAlignment="1">
      <alignment horizontal="right" vertical="center" wrapText="1"/>
    </xf>
    <xf numFmtId="0" fontId="9" fillId="0" borderId="17" xfId="36" applyFont="1" applyFill="1" applyBorder="1" applyAlignment="1" applyProtection="1">
      <alignment horizontal="left" vertical="center"/>
      <protection locked="0"/>
    </xf>
    <xf numFmtId="4" fontId="11" fillId="0" borderId="1" xfId="36" applyNumberFormat="1" applyFont="1" applyFill="1" applyBorder="1" applyAlignment="1" applyProtection="1">
      <alignment horizontal="center" vertical="center" wrapText="1"/>
      <protection locked="0"/>
    </xf>
    <xf numFmtId="9" fontId="9" fillId="0" borderId="17" xfId="36" applyNumberFormat="1" applyFont="1" applyFill="1" applyBorder="1" applyAlignment="1">
      <alignment horizontal="center" vertical="center" wrapText="1"/>
    </xf>
    <xf numFmtId="3" fontId="9" fillId="0" borderId="17" xfId="36" applyNumberFormat="1" applyFont="1" applyFill="1" applyBorder="1" applyAlignment="1">
      <alignment horizontal="center" vertical="center" wrapText="1"/>
    </xf>
    <xf numFmtId="0" fontId="9" fillId="0" borderId="44" xfId="36" applyFont="1" applyFill="1" applyBorder="1" applyAlignment="1">
      <alignment vertical="center" wrapText="1"/>
    </xf>
    <xf numFmtId="4" fontId="9" fillId="0" borderId="44" xfId="36" applyNumberFormat="1" applyFont="1" applyFill="1" applyBorder="1" applyAlignment="1">
      <alignment horizontal="center" vertical="center" wrapText="1"/>
    </xf>
    <xf numFmtId="9" fontId="9" fillId="0" borderId="44" xfId="36" applyNumberFormat="1" applyFont="1" applyFill="1" applyBorder="1" applyAlignment="1">
      <alignment horizontal="center" vertical="center" wrapText="1"/>
    </xf>
    <xf numFmtId="0" fontId="9" fillId="0" borderId="45" xfId="36" applyFont="1" applyFill="1" applyBorder="1" applyAlignment="1">
      <alignment horizontal="center" vertical="center" wrapText="1"/>
    </xf>
    <xf numFmtId="0" fontId="11" fillId="0" borderId="1" xfId="36" applyFont="1" applyFill="1" applyBorder="1" applyAlignment="1">
      <alignment vertical="center"/>
    </xf>
    <xf numFmtId="0" fontId="9" fillId="0" borderId="37" xfId="36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9" fontId="9" fillId="0" borderId="37" xfId="36" applyNumberFormat="1" applyFont="1" applyFill="1" applyBorder="1" applyAlignment="1">
      <alignment horizontal="center" vertical="center" wrapText="1"/>
    </xf>
    <xf numFmtId="3" fontId="9" fillId="0" borderId="2" xfId="36" applyNumberFormat="1" applyFont="1" applyFill="1" applyBorder="1" applyAlignment="1">
      <alignment horizontal="center" vertical="center" wrapText="1"/>
    </xf>
    <xf numFmtId="0" fontId="9" fillId="0" borderId="46" xfId="36" applyFont="1" applyFill="1" applyBorder="1" applyAlignment="1">
      <alignment horizontal="center" vertical="center" wrapText="1"/>
    </xf>
    <xf numFmtId="0" fontId="11" fillId="0" borderId="47" xfId="36" applyFont="1" applyFill="1" applyBorder="1" applyAlignment="1">
      <alignment vertical="center"/>
    </xf>
    <xf numFmtId="9" fontId="9" fillId="0" borderId="48" xfId="36" applyNumberFormat="1" applyFont="1" applyFill="1" applyBorder="1" applyAlignment="1">
      <alignment horizontal="center" vertical="center" wrapText="1"/>
    </xf>
    <xf numFmtId="4" fontId="9" fillId="0" borderId="48" xfId="36" applyNumberFormat="1" applyFont="1" applyFill="1" applyBorder="1" applyAlignment="1">
      <alignment horizontal="center" vertical="center" wrapText="1"/>
    </xf>
    <xf numFmtId="0" fontId="9" fillId="0" borderId="48" xfId="36" applyFont="1" applyFill="1" applyBorder="1" applyAlignment="1">
      <alignment horizontal="left" vertical="center" wrapText="1"/>
    </xf>
    <xf numFmtId="0" fontId="9" fillId="0" borderId="48" xfId="36" applyFont="1" applyFill="1" applyBorder="1" applyAlignment="1">
      <alignment horizontal="center" vertical="center" wrapText="1"/>
    </xf>
    <xf numFmtId="3" fontId="9" fillId="0" borderId="43" xfId="36" applyNumberFormat="1" applyFont="1" applyFill="1" applyBorder="1" applyAlignment="1">
      <alignment horizontal="center" vertical="center" wrapText="1"/>
    </xf>
    <xf numFmtId="4" fontId="9" fillId="0" borderId="49" xfId="36" applyNumberFormat="1" applyFont="1" applyFill="1" applyBorder="1" applyAlignment="1">
      <alignment horizontal="right" vertical="center" wrapText="1"/>
    </xf>
    <xf numFmtId="0" fontId="9" fillId="0" borderId="17" xfId="36" applyFont="1" applyFill="1" applyBorder="1" applyAlignment="1">
      <alignment horizontal="center" vertical="center" wrapText="1" shrinkToFit="1"/>
    </xf>
    <xf numFmtId="10" fontId="9" fillId="0" borderId="5" xfId="36" applyNumberFormat="1" applyFont="1" applyFill="1" applyBorder="1" applyAlignment="1">
      <alignment horizontal="center" vertical="center" wrapText="1"/>
    </xf>
    <xf numFmtId="0" fontId="26" fillId="0" borderId="5" xfId="36" applyFont="1" applyFill="1" applyBorder="1" applyAlignment="1">
      <alignment horizontal="left" vertical="center" wrapText="1"/>
    </xf>
    <xf numFmtId="9" fontId="9" fillId="0" borderId="5" xfId="36" applyNumberFormat="1" applyFont="1" applyFill="1" applyBorder="1" applyAlignment="1">
      <alignment horizontal="center" vertical="center" wrapText="1" shrinkToFit="1"/>
    </xf>
    <xf numFmtId="0" fontId="9" fillId="0" borderId="5" xfId="36" applyFont="1" applyFill="1" applyBorder="1" applyAlignment="1">
      <alignment horizontal="center" vertical="center" wrapText="1" shrinkToFit="1"/>
    </xf>
    <xf numFmtId="0" fontId="11" fillId="0" borderId="17" xfId="36" applyFont="1" applyBorder="1" applyAlignment="1" applyProtection="1">
      <alignment horizontal="left" vertical="center" wrapText="1"/>
      <protection locked="0"/>
    </xf>
    <xf numFmtId="168" fontId="11" fillId="0" borderId="17" xfId="36" applyNumberFormat="1" applyFont="1" applyBorder="1" applyAlignment="1" applyProtection="1">
      <alignment horizontal="center" vertical="center" wrapText="1"/>
      <protection locked="0"/>
    </xf>
    <xf numFmtId="0" fontId="11" fillId="0" borderId="19" xfId="36" applyFont="1" applyBorder="1" applyAlignment="1" applyProtection="1">
      <alignment horizontal="left" vertical="center" wrapText="1"/>
      <protection locked="0"/>
    </xf>
    <xf numFmtId="168" fontId="11" fillId="0" borderId="19" xfId="36" applyNumberFormat="1" applyFont="1" applyBorder="1" applyAlignment="1" applyProtection="1">
      <alignment horizontal="center" vertical="center" wrapText="1"/>
      <protection locked="0"/>
    </xf>
    <xf numFmtId="0" fontId="42" fillId="0" borderId="0" xfId="36" applyFont="1" applyBorder="1" applyAlignment="1" applyProtection="1">
      <alignment vertical="center" wrapText="1"/>
      <protection locked="0"/>
    </xf>
    <xf numFmtId="0" fontId="27" fillId="0" borderId="0" xfId="7" applyFont="1" applyAlignment="1">
      <alignment vertical="center"/>
    </xf>
    <xf numFmtId="0" fontId="29" fillId="0" borderId="0" xfId="7" applyFont="1" applyAlignment="1">
      <alignment vertical="center" wrapText="1"/>
    </xf>
    <xf numFmtId="0" fontId="27" fillId="0" borderId="0" xfId="7" applyFont="1" applyAlignment="1">
      <alignment horizontal="center" vertical="center"/>
    </xf>
    <xf numFmtId="0" fontId="29" fillId="0" borderId="0" xfId="33" applyFont="1" applyBorder="1" applyAlignment="1" applyProtection="1">
      <alignment vertical="center" wrapText="1"/>
      <protection locked="0"/>
    </xf>
    <xf numFmtId="0" fontId="27" fillId="0" borderId="0" xfId="33" applyFont="1" applyBorder="1" applyAlignment="1" applyProtection="1">
      <alignment vertical="center"/>
      <protection locked="0"/>
    </xf>
    <xf numFmtId="0" fontId="4" fillId="0" borderId="17" xfId="7" applyFont="1" applyBorder="1" applyAlignment="1">
      <alignment horizontal="left" vertical="center" wrapText="1"/>
    </xf>
    <xf numFmtId="0" fontId="4" fillId="0" borderId="17" xfId="7" applyFont="1" applyBorder="1" applyAlignment="1">
      <alignment vertical="center" wrapText="1"/>
    </xf>
    <xf numFmtId="0" fontId="28" fillId="0" borderId="17" xfId="7" applyFont="1" applyBorder="1" applyAlignment="1">
      <alignment horizontal="center" vertical="center" wrapText="1"/>
    </xf>
    <xf numFmtId="0" fontId="28" fillId="0" borderId="17" xfId="7" applyFont="1" applyBorder="1" applyAlignment="1">
      <alignment vertical="center"/>
    </xf>
    <xf numFmtId="0" fontId="27" fillId="0" borderId="17" xfId="7" applyFont="1" applyBorder="1" applyAlignment="1">
      <alignment vertical="center" wrapText="1"/>
    </xf>
    <xf numFmtId="0" fontId="30" fillId="0" borderId="0" xfId="33" applyFont="1" applyBorder="1" applyAlignment="1" applyProtection="1">
      <alignment horizontal="center" vertical="center" wrapText="1"/>
      <protection locked="0"/>
    </xf>
    <xf numFmtId="2" fontId="30" fillId="0" borderId="0" xfId="33" applyNumberFormat="1" applyFont="1" applyBorder="1" applyAlignment="1" applyProtection="1">
      <alignment horizontal="center" vertical="center" wrapText="1"/>
      <protection locked="0"/>
    </xf>
    <xf numFmtId="0" fontId="32" fillId="0" borderId="0" xfId="7" applyFont="1" applyAlignment="1">
      <alignment vertical="center"/>
    </xf>
    <xf numFmtId="0" fontId="33" fillId="0" borderId="0" xfId="7" applyFont="1" applyAlignment="1">
      <alignment vertical="center" wrapText="1"/>
    </xf>
    <xf numFmtId="0" fontId="32" fillId="0" borderId="0" xfId="7" applyFont="1" applyAlignment="1">
      <alignment horizontal="right" vertical="center"/>
    </xf>
    <xf numFmtId="0" fontId="32" fillId="0" borderId="0" xfId="7" applyFont="1" applyAlignment="1">
      <alignment horizontal="left" vertical="center"/>
    </xf>
    <xf numFmtId="2" fontId="32" fillId="0" borderId="0" xfId="7" applyNumberFormat="1" applyFont="1" applyBorder="1" applyAlignment="1" applyProtection="1">
      <alignment horizontal="left" vertical="center"/>
      <protection locked="0"/>
    </xf>
    <xf numFmtId="0" fontId="11" fillId="0" borderId="5" xfId="0" applyFont="1" applyFill="1" applyBorder="1" applyAlignment="1" applyProtection="1">
      <alignment horizontal="left" vertical="center" wrapText="1"/>
      <protection locked="0"/>
    </xf>
    <xf numFmtId="2" fontId="9" fillId="0" borderId="3" xfId="0" applyNumberFormat="1" applyFont="1" applyFill="1" applyBorder="1" applyAlignment="1" applyProtection="1">
      <alignment horizontal="center" vertical="center"/>
      <protection locked="0"/>
    </xf>
    <xf numFmtId="168" fontId="11" fillId="0" borderId="14" xfId="36" applyNumberFormat="1" applyFont="1" applyFill="1" applyBorder="1" applyAlignment="1">
      <alignment horizontal="center" vertical="center"/>
    </xf>
    <xf numFmtId="168" fontId="11" fillId="0" borderId="17" xfId="36" applyNumberFormat="1" applyFont="1" applyFill="1" applyBorder="1" applyAlignment="1">
      <alignment horizontal="center" vertical="center"/>
    </xf>
    <xf numFmtId="169" fontId="11" fillId="0" borderId="19" xfId="36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171" fontId="9" fillId="0" borderId="28" xfId="36" applyNumberFormat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42" fillId="0" borderId="0" xfId="36" applyFont="1" applyFill="1" applyBorder="1" applyAlignment="1">
      <alignment horizontal="center" wrapText="1"/>
    </xf>
    <xf numFmtId="4" fontId="9" fillId="0" borderId="51" xfId="36" applyNumberFormat="1" applyFont="1" applyFill="1" applyBorder="1" applyAlignment="1">
      <alignment horizontal="right" vertical="center" wrapText="1"/>
    </xf>
    <xf numFmtId="0" fontId="57" fillId="0" borderId="0" xfId="0" applyFont="1" applyFill="1" applyBorder="1" applyAlignment="1" applyProtection="1">
      <alignment vertical="center" wrapText="1"/>
      <protection locked="0"/>
    </xf>
    <xf numFmtId="0" fontId="57" fillId="0" borderId="0" xfId="36" applyFont="1" applyBorder="1" applyAlignment="1" applyProtection="1">
      <alignment vertical="center"/>
      <protection locked="0"/>
    </xf>
    <xf numFmtId="0" fontId="9" fillId="0" borderId="0" xfId="36" applyFont="1" applyFill="1" applyBorder="1" applyAlignment="1" applyProtection="1">
      <alignment horizontal="left" vertical="center"/>
      <protection locked="0"/>
    </xf>
    <xf numFmtId="0" fontId="5" fillId="0" borderId="0" xfId="36" applyFont="1" applyFill="1" applyBorder="1" applyAlignment="1" applyProtection="1">
      <alignment horizontal="center" vertical="center"/>
      <protection locked="0"/>
    </xf>
    <xf numFmtId="2" fontId="5" fillId="0" borderId="0" xfId="36" applyNumberFormat="1" applyFont="1" applyFill="1" applyBorder="1" applyAlignment="1" applyProtection="1">
      <alignment horizontal="center" vertical="center" wrapText="1"/>
      <protection locked="0"/>
    </xf>
    <xf numFmtId="0" fontId="9" fillId="0" borderId="52" xfId="36" applyFont="1" applyFill="1" applyBorder="1" applyAlignment="1">
      <alignment horizontal="center" vertical="center" wrapText="1"/>
    </xf>
    <xf numFmtId="0" fontId="9" fillId="0" borderId="44" xfId="36" applyFont="1" applyFill="1" applyBorder="1" applyAlignment="1">
      <alignment horizontal="left" vertical="center" wrapText="1"/>
    </xf>
    <xf numFmtId="0" fontId="9" fillId="0" borderId="28" xfId="36" applyFont="1" applyFill="1" applyBorder="1" applyAlignment="1">
      <alignment horizontal="left" vertical="center" wrapText="1"/>
    </xf>
    <xf numFmtId="0" fontId="9" fillId="0" borderId="44" xfId="36" applyFont="1" applyFill="1" applyBorder="1" applyAlignment="1">
      <alignment horizontal="center" vertical="center" wrapText="1"/>
    </xf>
    <xf numFmtId="0" fontId="9" fillId="0" borderId="28" xfId="36" applyFont="1" applyFill="1" applyBorder="1" applyAlignment="1">
      <alignment horizontal="center" vertical="center" wrapText="1"/>
    </xf>
    <xf numFmtId="3" fontId="9" fillId="0" borderId="44" xfId="36" applyNumberFormat="1" applyFont="1" applyFill="1" applyBorder="1" applyAlignment="1">
      <alignment horizontal="center" vertical="center" wrapText="1"/>
    </xf>
    <xf numFmtId="0" fontId="11" fillId="0" borderId="0" xfId="36" applyFont="1" applyBorder="1" applyAlignment="1" applyProtection="1">
      <alignment horizontal="center" vertical="center"/>
      <protection locked="0"/>
    </xf>
    <xf numFmtId="2" fontId="11" fillId="0" borderId="14" xfId="37" applyNumberFormat="1" applyFont="1" applyFill="1" applyBorder="1" applyAlignment="1">
      <alignment horizontal="center" vertical="center"/>
    </xf>
    <xf numFmtId="4" fontId="9" fillId="0" borderId="14" xfId="0" applyNumberFormat="1" applyFont="1" applyFill="1" applyBorder="1" applyAlignment="1" applyProtection="1">
      <alignment horizontal="center" vertical="center"/>
      <protection locked="0"/>
    </xf>
    <xf numFmtId="0" fontId="11" fillId="0" borderId="14" xfId="0" applyFont="1" applyFill="1" applyBorder="1" applyAlignment="1" applyProtection="1">
      <alignment vertical="top" wrapText="1"/>
      <protection locked="0"/>
    </xf>
    <xf numFmtId="166" fontId="9" fillId="0" borderId="14" xfId="0" applyNumberFormat="1" applyFont="1" applyFill="1" applyBorder="1" applyAlignment="1" applyProtection="1">
      <alignment horizontal="center" vertical="top" wrapText="1"/>
      <protection locked="0"/>
    </xf>
    <xf numFmtId="4" fontId="9" fillId="0" borderId="17" xfId="36" applyNumberFormat="1" applyFont="1" applyFill="1" applyBorder="1" applyAlignment="1">
      <alignment horizontal="center" vertical="center" wrapText="1" shrinkToFit="1"/>
    </xf>
    <xf numFmtId="4" fontId="9" fillId="0" borderId="5" xfId="36" applyNumberFormat="1" applyFont="1" applyFill="1" applyBorder="1" applyAlignment="1">
      <alignment horizontal="center" vertical="center" wrapText="1" shrinkToFit="1"/>
    </xf>
    <xf numFmtId="2" fontId="48" fillId="0" borderId="0" xfId="36" applyNumberFormat="1" applyFont="1" applyFill="1" applyBorder="1" applyAlignment="1" applyProtection="1">
      <alignment horizontal="center" vertical="top" wrapText="1"/>
      <protection locked="0"/>
    </xf>
    <xf numFmtId="0" fontId="42" fillId="0" borderId="0" xfId="0" applyFont="1" applyFill="1"/>
    <xf numFmtId="4" fontId="42" fillId="0" borderId="0" xfId="36" applyNumberFormat="1" applyFont="1" applyFill="1" applyAlignment="1">
      <alignment vertical="center"/>
    </xf>
    <xf numFmtId="0" fontId="48" fillId="0" borderId="0" xfId="36" applyFont="1" applyFill="1" applyBorder="1" applyAlignment="1" applyProtection="1">
      <alignment horizontal="center" vertical="center" wrapText="1"/>
      <protection hidden="1"/>
    </xf>
    <xf numFmtId="0" fontId="48" fillId="0" borderId="0" xfId="0" applyFont="1" applyFill="1"/>
    <xf numFmtId="0" fontId="28" fillId="0" borderId="10" xfId="0" applyFont="1" applyFill="1" applyBorder="1" applyAlignment="1" applyProtection="1">
      <alignment horizontal="left" vertical="top" wrapText="1"/>
      <protection locked="0"/>
    </xf>
    <xf numFmtId="166" fontId="9" fillId="0" borderId="10" xfId="11" applyNumberFormat="1" applyFont="1" applyFill="1" applyBorder="1" applyAlignment="1" applyProtection="1">
      <alignment horizontal="center" vertical="center"/>
      <protection locked="0"/>
    </xf>
    <xf numFmtId="0" fontId="11" fillId="0" borderId="18" xfId="36" applyFont="1" applyBorder="1" applyAlignment="1" applyProtection="1">
      <alignment vertical="center"/>
      <protection locked="0"/>
    </xf>
    <xf numFmtId="0" fontId="9" fillId="0" borderId="9" xfId="36" applyFont="1" applyBorder="1" applyAlignment="1" applyProtection="1">
      <alignment vertical="center"/>
      <protection locked="0"/>
    </xf>
    <xf numFmtId="0" fontId="9" fillId="0" borderId="17" xfId="36" applyFont="1" applyBorder="1" applyAlignment="1" applyProtection="1">
      <alignment vertical="center"/>
      <protection locked="0"/>
    </xf>
    <xf numFmtId="0" fontId="11" fillId="0" borderId="2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17" xfId="36" applyFont="1" applyBorder="1" applyAlignment="1" applyProtection="1">
      <alignment horizontal="left" vertical="center" wrapText="1"/>
      <protection locked="0"/>
    </xf>
    <xf numFmtId="0" fontId="43" fillId="0" borderId="0" xfId="0" applyFont="1" applyAlignment="1">
      <alignment wrapText="1"/>
    </xf>
    <xf numFmtId="0" fontId="57" fillId="0" borderId="0" xfId="0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right" vertical="center" wrapText="1"/>
      <protection locked="0"/>
    </xf>
    <xf numFmtId="4" fontId="11" fillId="0" borderId="53" xfId="0" applyNumberFormat="1" applyFont="1" applyFill="1" applyBorder="1" applyAlignment="1" applyProtection="1">
      <alignment horizontal="center" vertical="center"/>
      <protection locked="0"/>
    </xf>
    <xf numFmtId="0" fontId="11" fillId="0" borderId="32" xfId="0" applyFont="1" applyFill="1" applyBorder="1" applyAlignment="1" applyProtection="1">
      <alignment horizontal="left" vertical="center" wrapText="1"/>
      <protection locked="0"/>
    </xf>
    <xf numFmtId="0" fontId="12" fillId="0" borderId="23" xfId="29" applyFont="1" applyFill="1" applyBorder="1" applyAlignment="1">
      <alignment vertical="center"/>
    </xf>
    <xf numFmtId="0" fontId="12" fillId="0" borderId="3" xfId="29" applyFont="1" applyFill="1" applyBorder="1" applyAlignment="1">
      <alignment vertical="center"/>
    </xf>
    <xf numFmtId="4" fontId="12" fillId="0" borderId="3" xfId="29" applyNumberFormat="1" applyFont="1" applyFill="1" applyBorder="1" applyAlignment="1" applyProtection="1">
      <alignment vertical="center"/>
      <protection hidden="1"/>
    </xf>
    <xf numFmtId="4" fontId="12" fillId="0" borderId="3" xfId="29" applyNumberFormat="1" applyFont="1" applyFill="1" applyBorder="1" applyAlignment="1">
      <alignment vertical="center"/>
    </xf>
    <xf numFmtId="4" fontId="20" fillId="0" borderId="3" xfId="29" applyNumberFormat="1" applyFont="1" applyFill="1" applyBorder="1" applyAlignment="1">
      <alignment vertical="center"/>
    </xf>
    <xf numFmtId="0" fontId="20" fillId="0" borderId="7" xfId="29" applyFont="1" applyFill="1" applyBorder="1" applyAlignment="1">
      <alignment horizontal="centerContinuous" vertical="center" wrapText="1"/>
    </xf>
    <xf numFmtId="0" fontId="20" fillId="0" borderId="10" xfId="29" applyFont="1" applyFill="1" applyBorder="1" applyAlignment="1">
      <alignment horizontal="center" vertical="center" wrapText="1"/>
    </xf>
    <xf numFmtId="0" fontId="20" fillId="0" borderId="10" xfId="29" applyNumberFormat="1" applyFont="1" applyFill="1" applyBorder="1" applyAlignment="1">
      <alignment horizontal="center" vertical="center" wrapText="1"/>
    </xf>
    <xf numFmtId="0" fontId="20" fillId="0" borderId="12" xfId="29" applyFont="1" applyFill="1" applyBorder="1" applyAlignment="1">
      <alignment horizontal="center" vertical="center" wrapText="1"/>
    </xf>
    <xf numFmtId="0" fontId="12" fillId="0" borderId="56" xfId="29" applyFont="1" applyFill="1" applyBorder="1" applyAlignment="1">
      <alignment vertical="center"/>
    </xf>
    <xf numFmtId="0" fontId="20" fillId="0" borderId="44" xfId="29" applyFont="1" applyFill="1" applyBorder="1" applyAlignment="1">
      <alignment vertical="center" wrapText="1"/>
    </xf>
    <xf numFmtId="0" fontId="12" fillId="0" borderId="44" xfId="29" applyFont="1" applyFill="1" applyBorder="1" applyAlignment="1">
      <alignment vertical="center"/>
    </xf>
    <xf numFmtId="2" fontId="12" fillId="0" borderId="44" xfId="29" applyNumberFormat="1" applyFont="1" applyFill="1" applyBorder="1" applyAlignment="1">
      <alignment vertical="center"/>
    </xf>
    <xf numFmtId="0" fontId="12" fillId="0" borderId="44" xfId="29" applyFont="1" applyFill="1" applyBorder="1" applyAlignment="1">
      <alignment horizontal="center" vertical="center"/>
    </xf>
    <xf numFmtId="4" fontId="20" fillId="0" borderId="57" xfId="29" applyNumberFormat="1" applyFont="1" applyFill="1" applyBorder="1" applyAlignment="1">
      <alignment vertical="center"/>
    </xf>
    <xf numFmtId="0" fontId="12" fillId="0" borderId="7" xfId="29" applyFont="1" applyFill="1" applyBorder="1" applyAlignment="1">
      <alignment vertical="center"/>
    </xf>
    <xf numFmtId="0" fontId="20" fillId="0" borderId="10" xfId="29" applyFont="1" applyFill="1" applyBorder="1" applyAlignment="1">
      <alignment vertical="center" wrapText="1"/>
    </xf>
    <xf numFmtId="0" fontId="12" fillId="0" borderId="10" xfId="29" applyFont="1" applyFill="1" applyBorder="1" applyAlignment="1">
      <alignment vertical="center"/>
    </xf>
    <xf numFmtId="2" fontId="12" fillId="0" borderId="10" xfId="29" applyNumberFormat="1" applyFont="1" applyFill="1" applyBorder="1" applyAlignment="1">
      <alignment vertical="center"/>
    </xf>
    <xf numFmtId="0" fontId="12" fillId="0" borderId="10" xfId="29" applyFont="1" applyFill="1" applyBorder="1" applyAlignment="1">
      <alignment horizontal="center" vertical="center"/>
    </xf>
    <xf numFmtId="4" fontId="20" fillId="0" borderId="12" xfId="29" applyNumberFormat="1" applyFont="1" applyFill="1" applyBorder="1" applyAlignment="1">
      <alignment vertical="center"/>
    </xf>
    <xf numFmtId="0" fontId="9" fillId="0" borderId="54" xfId="36" applyFont="1" applyFill="1" applyBorder="1" applyAlignment="1">
      <alignment horizontal="center" vertical="center" wrapText="1"/>
    </xf>
    <xf numFmtId="0" fontId="11" fillId="0" borderId="7" xfId="36" applyFont="1" applyFill="1" applyBorder="1" applyAlignment="1">
      <alignment horizontal="center" vertical="center" wrapText="1"/>
    </xf>
    <xf numFmtId="0" fontId="11" fillId="0" borderId="10" xfId="36" applyFont="1" applyFill="1" applyBorder="1" applyAlignment="1">
      <alignment horizontal="left" vertical="center" wrapText="1"/>
    </xf>
    <xf numFmtId="4" fontId="11" fillId="0" borderId="10" xfId="36" applyNumberFormat="1" applyFont="1" applyFill="1" applyBorder="1" applyAlignment="1">
      <alignment horizontal="center" vertical="center" wrapText="1" shrinkToFit="1"/>
    </xf>
    <xf numFmtId="0" fontId="11" fillId="0" borderId="10" xfId="36" applyFont="1" applyFill="1" applyBorder="1" applyAlignment="1">
      <alignment horizontal="center" vertical="center" wrapText="1" shrinkToFit="1"/>
    </xf>
    <xf numFmtId="4" fontId="11" fillId="0" borderId="12" xfId="36" applyNumberFormat="1" applyFont="1" applyFill="1" applyBorder="1" applyAlignment="1">
      <alignment horizontal="right" vertical="center" wrapText="1"/>
    </xf>
    <xf numFmtId="4" fontId="11" fillId="0" borderId="29" xfId="36" applyNumberFormat="1" applyFont="1" applyFill="1" applyBorder="1" applyAlignment="1">
      <alignment horizontal="right" vertical="center" wrapText="1"/>
    </xf>
    <xf numFmtId="4" fontId="11" fillId="0" borderId="17" xfId="36" applyNumberFormat="1" applyFont="1" applyFill="1" applyBorder="1" applyAlignment="1">
      <alignment horizontal="center" vertical="center" wrapText="1"/>
    </xf>
    <xf numFmtId="4" fontId="11" fillId="0" borderId="37" xfId="36" applyNumberFormat="1" applyFont="1" applyFill="1" applyBorder="1" applyAlignment="1">
      <alignment horizontal="center" vertical="center" wrapText="1"/>
    </xf>
    <xf numFmtId="0" fontId="11" fillId="0" borderId="58" xfId="0" applyFont="1" applyFill="1" applyBorder="1" applyAlignment="1" applyProtection="1">
      <alignment horizontal="center" vertical="center" wrapText="1"/>
      <protection locked="0"/>
    </xf>
    <xf numFmtId="0" fontId="11" fillId="0" borderId="14" xfId="0" applyFont="1" applyFill="1" applyBorder="1" applyAlignment="1" applyProtection="1">
      <alignment horizontal="left" vertical="center"/>
      <protection locked="0"/>
    </xf>
    <xf numFmtId="4" fontId="11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9" xfId="0" applyFont="1" applyFill="1" applyBorder="1" applyAlignment="1" applyProtection="1">
      <alignment horizontal="center" vertical="center" wrapText="1"/>
      <protection locked="0"/>
    </xf>
    <xf numFmtId="2" fontId="11" fillId="0" borderId="6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0" xfId="0" quotePrefix="1" applyFont="1" applyFill="1" applyBorder="1" applyAlignment="1" applyProtection="1">
      <alignment horizontal="center" vertical="top"/>
      <protection locked="0"/>
    </xf>
    <xf numFmtId="4" fontId="11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57" fillId="0" borderId="0" xfId="0" applyFont="1" applyFill="1"/>
    <xf numFmtId="0" fontId="27" fillId="0" borderId="23" xfId="7" applyFont="1" applyBorder="1" applyAlignment="1">
      <alignment horizontal="center" vertical="center" wrapText="1"/>
    </xf>
    <xf numFmtId="0" fontId="27" fillId="0" borderId="23" xfId="7" applyFont="1" applyBorder="1" applyAlignment="1">
      <alignment horizontal="center" vertical="center"/>
    </xf>
    <xf numFmtId="0" fontId="28" fillId="0" borderId="52" xfId="7" applyFont="1" applyBorder="1" applyAlignment="1">
      <alignment horizontal="center" vertical="center" wrapText="1"/>
    </xf>
    <xf numFmtId="0" fontId="28" fillId="0" borderId="28" xfId="7" applyFont="1" applyBorder="1" applyAlignment="1">
      <alignment horizontal="center" vertical="center" wrapText="1"/>
    </xf>
    <xf numFmtId="0" fontId="28" fillId="0" borderId="62" xfId="7" applyFont="1" applyBorder="1" applyAlignment="1">
      <alignment horizontal="center" vertical="center" wrapText="1"/>
    </xf>
    <xf numFmtId="0" fontId="28" fillId="0" borderId="63" xfId="7" applyFont="1" applyBorder="1" applyAlignment="1">
      <alignment horizontal="center" vertical="center" wrapText="1"/>
    </xf>
    <xf numFmtId="4" fontId="27" fillId="0" borderId="61" xfId="38" applyNumberFormat="1" applyFont="1" applyBorder="1" applyAlignment="1" applyProtection="1">
      <alignment vertical="center"/>
      <protection locked="0"/>
    </xf>
    <xf numFmtId="4" fontId="28" fillId="0" borderId="61" xfId="7" applyNumberFormat="1" applyFont="1" applyBorder="1" applyAlignment="1">
      <alignment vertical="center"/>
    </xf>
    <xf numFmtId="4" fontId="28" fillId="0" borderId="61" xfId="38" applyNumberFormat="1" applyFont="1" applyBorder="1" applyAlignment="1" applyProtection="1">
      <alignment vertical="center"/>
      <protection locked="0"/>
    </xf>
    <xf numFmtId="0" fontId="59" fillId="0" borderId="24" xfId="7" applyFont="1" applyBorder="1" applyAlignment="1">
      <alignment horizontal="center" vertical="center" wrapText="1"/>
    </xf>
    <xf numFmtId="0" fontId="59" fillId="0" borderId="50" xfId="7" applyFont="1" applyBorder="1" applyAlignment="1">
      <alignment horizontal="center" vertical="center" wrapText="1"/>
    </xf>
    <xf numFmtId="0" fontId="27" fillId="0" borderId="49" xfId="7" applyFont="1" applyBorder="1" applyAlignment="1">
      <alignment vertical="center"/>
    </xf>
    <xf numFmtId="4" fontId="27" fillId="0" borderId="29" xfId="7" applyNumberFormat="1" applyFont="1" applyBorder="1" applyAlignment="1">
      <alignment horizontal="right" vertical="center"/>
    </xf>
    <xf numFmtId="4" fontId="28" fillId="0" borderId="29" xfId="7" applyNumberFormat="1" applyFont="1" applyBorder="1" applyAlignment="1">
      <alignment vertical="center"/>
    </xf>
    <xf numFmtId="4" fontId="27" fillId="0" borderId="29" xfId="7" applyNumberFormat="1" applyFont="1" applyBorder="1" applyAlignment="1">
      <alignment horizontal="center" vertical="center"/>
    </xf>
    <xf numFmtId="0" fontId="27" fillId="0" borderId="64" xfId="7" applyFont="1" applyBorder="1" applyAlignment="1">
      <alignment vertical="center"/>
    </xf>
    <xf numFmtId="10" fontId="9" fillId="0" borderId="17" xfId="36" applyNumberFormat="1" applyFont="1" applyFill="1" applyBorder="1" applyAlignment="1">
      <alignment horizontal="center" vertical="center" wrapText="1"/>
    </xf>
    <xf numFmtId="0" fontId="11" fillId="0" borderId="17" xfId="36" applyFont="1" applyFill="1" applyBorder="1" applyAlignment="1">
      <alignment vertical="center" wrapText="1"/>
    </xf>
    <xf numFmtId="4" fontId="11" fillId="0" borderId="0" xfId="0" applyNumberFormat="1" applyFont="1" applyBorder="1" applyAlignment="1">
      <alignment vertical="center"/>
    </xf>
    <xf numFmtId="0" fontId="4" fillId="0" borderId="23" xfId="7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4" fontId="4" fillId="0" borderId="61" xfId="38" applyNumberFormat="1" applyFont="1" applyBorder="1" applyAlignment="1" applyProtection="1">
      <alignment vertical="center"/>
      <protection locked="0"/>
    </xf>
    <xf numFmtId="0" fontId="4" fillId="0" borderId="0" xfId="7" applyFont="1" applyAlignment="1">
      <alignment vertical="center"/>
    </xf>
    <xf numFmtId="4" fontId="4" fillId="0" borderId="61" xfId="7" applyNumberFormat="1" applyFont="1" applyBorder="1" applyAlignment="1">
      <alignment horizontal="right" vertical="center"/>
    </xf>
    <xf numFmtId="0" fontId="27" fillId="0" borderId="56" xfId="7" applyFont="1" applyBorder="1" applyAlignment="1">
      <alignment horizontal="center" vertical="center" wrapText="1"/>
    </xf>
    <xf numFmtId="0" fontId="4" fillId="0" borderId="44" xfId="7" applyFont="1" applyBorder="1" applyAlignment="1">
      <alignment horizontal="left" vertical="center"/>
    </xf>
    <xf numFmtId="4" fontId="27" fillId="0" borderId="65" xfId="38" applyNumberFormat="1" applyFont="1" applyBorder="1" applyAlignment="1" applyProtection="1">
      <alignment vertical="center"/>
      <protection locked="0"/>
    </xf>
    <xf numFmtId="4" fontId="27" fillId="0" borderId="66" xfId="7" applyNumberFormat="1" applyFont="1" applyBorder="1" applyAlignment="1">
      <alignment horizontal="right" vertical="center"/>
    </xf>
    <xf numFmtId="0" fontId="27" fillId="0" borderId="67" xfId="7" applyFont="1" applyBorder="1" applyAlignment="1">
      <alignment horizontal="center" vertical="center" wrapText="1"/>
    </xf>
    <xf numFmtId="4" fontId="28" fillId="0" borderId="64" xfId="38" applyNumberFormat="1" applyFont="1" applyBorder="1" applyAlignment="1" applyProtection="1">
      <alignment vertical="center"/>
      <protection locked="0"/>
    </xf>
    <xf numFmtId="165" fontId="29" fillId="0" borderId="59" xfId="7" applyNumberFormat="1" applyFont="1" applyBorder="1" applyAlignment="1">
      <alignment vertical="center" wrapText="1"/>
    </xf>
    <xf numFmtId="0" fontId="28" fillId="0" borderId="40" xfId="7" applyFont="1" applyFill="1" applyBorder="1" applyAlignment="1">
      <alignment vertical="center"/>
    </xf>
    <xf numFmtId="4" fontId="9" fillId="0" borderId="5" xfId="0" applyNumberFormat="1" applyFont="1" applyFill="1" applyBorder="1" applyAlignment="1">
      <alignment vertical="center"/>
    </xf>
    <xf numFmtId="0" fontId="11" fillId="0" borderId="28" xfId="36" applyFont="1" applyFill="1" applyBorder="1" applyAlignment="1" applyProtection="1">
      <alignment horizontal="center" vertical="center" wrapText="1"/>
      <protection locked="0"/>
    </xf>
    <xf numFmtId="2" fontId="11" fillId="0" borderId="28" xfId="36" applyNumberFormat="1" applyFont="1" applyFill="1" applyBorder="1" applyAlignment="1" applyProtection="1">
      <alignment horizontal="center" vertical="center" wrapText="1"/>
      <protection locked="0"/>
    </xf>
    <xf numFmtId="0" fontId="9" fillId="0" borderId="28" xfId="36" applyFont="1" applyFill="1" applyBorder="1" applyAlignment="1" applyProtection="1">
      <alignment horizontal="center" vertical="center" wrapText="1"/>
      <protection locked="0"/>
    </xf>
    <xf numFmtId="0" fontId="11" fillId="0" borderId="7" xfId="36" applyFont="1" applyBorder="1" applyAlignment="1" applyProtection="1">
      <alignment vertical="center" wrapText="1"/>
      <protection locked="0"/>
    </xf>
    <xf numFmtId="0" fontId="11" fillId="0" borderId="10" xfId="36" applyFont="1" applyBorder="1" applyAlignment="1" applyProtection="1">
      <alignment horizontal="center" vertical="center" wrapText="1"/>
      <protection locked="0"/>
    </xf>
    <xf numFmtId="4" fontId="11" fillId="0" borderId="10" xfId="36" applyNumberFormat="1" applyFont="1" applyBorder="1" applyAlignment="1" applyProtection="1">
      <alignment horizontal="center" vertical="center" wrapText="1"/>
      <protection locked="0"/>
    </xf>
    <xf numFmtId="2" fontId="11" fillId="0" borderId="10" xfId="36" applyNumberFormat="1" applyFont="1" applyBorder="1" applyAlignment="1" applyProtection="1">
      <alignment horizontal="center" vertical="center" wrapText="1"/>
      <protection locked="0"/>
    </xf>
    <xf numFmtId="4" fontId="11" fillId="0" borderId="12" xfId="36" applyNumberFormat="1" applyFont="1" applyBorder="1" applyAlignment="1" applyProtection="1">
      <alignment vertical="center" wrapText="1"/>
      <protection locked="0"/>
    </xf>
    <xf numFmtId="1" fontId="9" fillId="0" borderId="44" xfId="0" applyNumberFormat="1" applyFont="1" applyFill="1" applyBorder="1" applyAlignment="1" applyProtection="1">
      <alignment horizontal="center" vertical="center"/>
      <protection locked="0"/>
    </xf>
    <xf numFmtId="2" fontId="25" fillId="0" borderId="44" xfId="36" applyNumberFormat="1" applyFont="1" applyFill="1" applyBorder="1" applyAlignment="1" applyProtection="1">
      <alignment horizontal="center" vertical="center" wrapText="1"/>
      <protection locked="0"/>
    </xf>
    <xf numFmtId="1" fontId="9" fillId="0" borderId="44" xfId="36" applyNumberFormat="1" applyFont="1" applyFill="1" applyBorder="1" applyAlignment="1" applyProtection="1">
      <alignment horizontal="center" vertical="center"/>
      <protection locked="0"/>
    </xf>
    <xf numFmtId="0" fontId="9" fillId="0" borderId="44" xfId="36" applyFont="1" applyBorder="1" applyAlignment="1" applyProtection="1">
      <alignment horizontal="center" vertical="center" wrapText="1"/>
      <protection locked="0"/>
    </xf>
    <xf numFmtId="0" fontId="11" fillId="0" borderId="7" xfId="36" applyFont="1" applyBorder="1" applyAlignment="1" applyProtection="1">
      <alignment horizontal="center" vertical="center"/>
      <protection locked="0"/>
    </xf>
    <xf numFmtId="2" fontId="11" fillId="0" borderId="10" xfId="36" applyNumberFormat="1" applyFont="1" applyFill="1" applyBorder="1" applyAlignment="1" applyProtection="1">
      <alignment vertical="center" wrapText="1"/>
      <protection locked="0"/>
    </xf>
    <xf numFmtId="0" fontId="11" fillId="0" borderId="52" xfId="36" applyFont="1" applyFill="1" applyBorder="1" applyAlignment="1" applyProtection="1">
      <alignment vertical="center" wrapText="1"/>
      <protection locked="0"/>
    </xf>
    <xf numFmtId="4" fontId="11" fillId="0" borderId="51" xfId="36" applyNumberFormat="1" applyFont="1" applyFill="1" applyBorder="1" applyAlignment="1" applyProtection="1">
      <alignment vertical="center" wrapText="1"/>
      <protection locked="0"/>
    </xf>
    <xf numFmtId="0" fontId="11" fillId="0" borderId="56" xfId="36" applyFont="1" applyBorder="1" applyAlignment="1" applyProtection="1">
      <alignment horizontal="center" vertical="center"/>
      <protection locked="0"/>
    </xf>
    <xf numFmtId="4" fontId="9" fillId="0" borderId="57" xfId="36" applyNumberFormat="1" applyFont="1" applyBorder="1" applyAlignment="1" applyProtection="1">
      <alignment vertical="center"/>
    </xf>
    <xf numFmtId="4" fontId="11" fillId="0" borderId="10" xfId="36" applyNumberFormat="1" applyFont="1" applyBorder="1" applyAlignment="1" applyProtection="1">
      <alignment vertical="center"/>
      <protection locked="0"/>
    </xf>
    <xf numFmtId="166" fontId="11" fillId="0" borderId="10" xfId="36" applyNumberFormat="1" applyFont="1" applyFill="1" applyBorder="1" applyAlignment="1" applyProtection="1">
      <alignment horizontal="center" vertical="center"/>
      <protection locked="0"/>
    </xf>
    <xf numFmtId="4" fontId="11" fillId="0" borderId="12" xfId="36" applyNumberFormat="1" applyFont="1" applyBorder="1" applyAlignment="1" applyProtection="1">
      <alignment vertical="center"/>
    </xf>
    <xf numFmtId="0" fontId="35" fillId="0" borderId="17" xfId="7" applyFont="1" applyBorder="1" applyAlignment="1">
      <alignment horizontal="right" vertical="center" wrapText="1"/>
    </xf>
    <xf numFmtId="0" fontId="35" fillId="0" borderId="1" xfId="7" applyFont="1" applyBorder="1" applyAlignment="1">
      <alignment horizontal="center" vertical="center" wrapText="1"/>
    </xf>
    <xf numFmtId="4" fontId="35" fillId="0" borderId="61" xfId="38" applyNumberFormat="1" applyFont="1" applyBorder="1" applyAlignment="1" applyProtection="1">
      <alignment vertical="center"/>
      <protection locked="0"/>
    </xf>
    <xf numFmtId="4" fontId="58" fillId="0" borderId="0" xfId="0" applyNumberFormat="1" applyFont="1" applyBorder="1" applyAlignment="1">
      <alignment vertical="center" wrapText="1"/>
    </xf>
    <xf numFmtId="4" fontId="42" fillId="0" borderId="0" xfId="36" applyNumberFormat="1" applyFont="1" applyFill="1" applyBorder="1" applyAlignment="1">
      <alignment horizontal="left" vertical="center" wrapText="1"/>
    </xf>
    <xf numFmtId="171" fontId="9" fillId="0" borderId="10" xfId="0" applyNumberFormat="1" applyFont="1" applyFill="1" applyBorder="1" applyAlignment="1" applyProtection="1">
      <alignment horizontal="center" vertical="center"/>
      <protection locked="0"/>
    </xf>
    <xf numFmtId="0" fontId="9" fillId="0" borderId="67" xfId="36" applyFont="1" applyFill="1" applyBorder="1" applyAlignment="1">
      <alignment horizontal="center" vertical="center" wrapText="1"/>
    </xf>
    <xf numFmtId="0" fontId="9" fillId="0" borderId="14" xfId="36" applyFont="1" applyFill="1" applyBorder="1" applyAlignment="1">
      <alignment vertical="top" wrapText="1"/>
    </xf>
    <xf numFmtId="0" fontId="9" fillId="0" borderId="14" xfId="36" applyFont="1" applyFill="1" applyBorder="1" applyAlignment="1">
      <alignment horizontal="left" vertical="center" wrapText="1"/>
    </xf>
    <xf numFmtId="0" fontId="9" fillId="0" borderId="14" xfId="36" applyFont="1" applyFill="1" applyBorder="1" applyAlignment="1">
      <alignment horizontal="center" vertical="center" wrapText="1"/>
    </xf>
    <xf numFmtId="0" fontId="9" fillId="0" borderId="29" xfId="0" applyFont="1" applyFill="1" applyBorder="1"/>
    <xf numFmtId="4" fontId="9" fillId="0" borderId="66" xfId="36" applyNumberFormat="1" applyFont="1" applyFill="1" applyBorder="1" applyAlignment="1">
      <alignment horizontal="right" vertical="center" wrapText="1"/>
    </xf>
    <xf numFmtId="0" fontId="9" fillId="0" borderId="35" xfId="0" applyFont="1" applyFill="1" applyBorder="1"/>
    <xf numFmtId="0" fontId="4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4" fontId="4" fillId="0" borderId="0" xfId="0" applyNumberFormat="1" applyFont="1" applyFill="1" applyBorder="1" applyAlignment="1" applyProtection="1">
      <alignment vertical="center"/>
      <protection locked="0"/>
    </xf>
    <xf numFmtId="2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/>
    <xf numFmtId="2" fontId="27" fillId="0" borderId="0" xfId="33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>
      <alignment horizontal="left" wrapText="1"/>
    </xf>
    <xf numFmtId="0" fontId="37" fillId="0" borderId="0" xfId="0" applyFont="1" applyFill="1"/>
    <xf numFmtId="2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17" xfId="7" applyFont="1" applyBorder="1" applyAlignment="1">
      <alignment horizontal="left" vertical="center"/>
    </xf>
    <xf numFmtId="4" fontId="9" fillId="0" borderId="32" xfId="0" applyNumberFormat="1" applyFont="1" applyFill="1" applyBorder="1" applyAlignment="1" applyProtection="1">
      <alignment vertical="center"/>
      <protection locked="0"/>
    </xf>
    <xf numFmtId="0" fontId="48" fillId="0" borderId="0" xfId="0" quotePrefix="1" applyFont="1" applyFill="1" applyBorder="1" applyAlignment="1" applyProtection="1">
      <alignment horizontal="left" vertical="center" wrapText="1"/>
      <protection locked="0"/>
    </xf>
    <xf numFmtId="4" fontId="4" fillId="0" borderId="61" xfId="38" applyNumberFormat="1" applyFont="1" applyFill="1" applyBorder="1" applyAlignment="1" applyProtection="1">
      <alignment vertical="center"/>
      <protection locked="0"/>
    </xf>
    <xf numFmtId="0" fontId="4" fillId="0" borderId="0" xfId="7" applyFont="1" applyFill="1" applyAlignment="1">
      <alignment vertical="center"/>
    </xf>
    <xf numFmtId="0" fontId="60" fillId="0" borderId="0" xfId="0" applyFont="1" applyFill="1" applyBorder="1" applyAlignment="1" applyProtection="1">
      <alignment horizontal="left" vertical="top" wrapText="1"/>
      <protection locked="0"/>
    </xf>
    <xf numFmtId="0" fontId="34" fillId="3" borderId="61" xfId="7" applyFont="1" applyFill="1" applyBorder="1" applyAlignment="1">
      <alignment horizontal="center" vertical="center" wrapText="1"/>
    </xf>
    <xf numFmtId="166" fontId="58" fillId="0" borderId="29" xfId="3" quotePrefix="1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vertical="center"/>
    </xf>
    <xf numFmtId="0" fontId="66" fillId="0" borderId="0" xfId="0" applyFont="1" applyAlignment="1">
      <alignment horizontal="left" vertical="center"/>
    </xf>
    <xf numFmtId="0" fontId="42" fillId="0" borderId="17" xfId="0" applyFont="1" applyBorder="1" applyAlignment="1">
      <alignment vertical="center"/>
    </xf>
    <xf numFmtId="0" fontId="11" fillId="4" borderId="0" xfId="0" applyFont="1" applyFill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11" fillId="0" borderId="17" xfId="0" applyFont="1" applyFill="1" applyBorder="1" applyAlignment="1">
      <alignment vertical="center" wrapText="1"/>
    </xf>
    <xf numFmtId="3" fontId="11" fillId="0" borderId="17" xfId="0" applyNumberFormat="1" applyFont="1" applyFill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 wrapText="1"/>
    </xf>
    <xf numFmtId="167" fontId="11" fillId="0" borderId="17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17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9" fillId="0" borderId="44" xfId="0" applyFont="1" applyFill="1" applyBorder="1" applyAlignment="1">
      <alignment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66" fillId="0" borderId="0" xfId="36" applyFont="1" applyFill="1" applyBorder="1" applyAlignment="1" applyProtection="1">
      <alignment horizontal="left" vertical="center"/>
      <protection locked="0"/>
    </xf>
    <xf numFmtId="0" fontId="38" fillId="0" borderId="17" xfId="0" applyFont="1" applyBorder="1" applyAlignment="1">
      <alignment horizontal="center" vertical="center" wrapText="1"/>
    </xf>
    <xf numFmtId="0" fontId="67" fillId="0" borderId="17" xfId="0" applyFont="1" applyBorder="1" applyAlignment="1">
      <alignment horizontal="center" vertical="center" wrapText="1"/>
    </xf>
    <xf numFmtId="4" fontId="67" fillId="0" borderId="17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4" fontId="9" fillId="0" borderId="44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37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9" fillId="0" borderId="44" xfId="0" applyFont="1" applyBorder="1" applyAlignment="1">
      <alignment horizontal="justify" vertical="center" wrapText="1"/>
    </xf>
    <xf numFmtId="4" fontId="9" fillId="0" borderId="44" xfId="0" applyNumberFormat="1" applyFont="1" applyBorder="1" applyAlignment="1">
      <alignment horizontal="center" vertical="center" wrapText="1"/>
    </xf>
    <xf numFmtId="0" fontId="9" fillId="0" borderId="44" xfId="0" applyFont="1" applyBorder="1" applyAlignment="1">
      <alignment horizontal="right" vertical="center"/>
    </xf>
    <xf numFmtId="2" fontId="9" fillId="0" borderId="44" xfId="0" applyNumberFormat="1" applyFont="1" applyBorder="1" applyAlignment="1">
      <alignment horizontal="right" vertical="center"/>
    </xf>
    <xf numFmtId="4" fontId="9" fillId="0" borderId="44" xfId="0" applyNumberFormat="1" applyFont="1" applyBorder="1" applyAlignment="1">
      <alignment horizontal="right" vertical="center"/>
    </xf>
    <xf numFmtId="0" fontId="42" fillId="0" borderId="17" xfId="0" applyFont="1" applyBorder="1" applyAlignment="1">
      <alignment vertical="center" wrapText="1"/>
    </xf>
    <xf numFmtId="167" fontId="42" fillId="0" borderId="17" xfId="0" applyNumberFormat="1" applyFont="1" applyBorder="1" applyAlignment="1">
      <alignment horizontal="center" vertical="center"/>
    </xf>
    <xf numFmtId="0" fontId="56" fillId="0" borderId="17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28" xfId="0" applyFont="1" applyBorder="1" applyAlignment="1">
      <alignment horizontal="justify" vertical="center" wrapText="1"/>
    </xf>
    <xf numFmtId="4" fontId="9" fillId="0" borderId="28" xfId="0" applyNumberFormat="1" applyFont="1" applyBorder="1" applyAlignment="1">
      <alignment horizontal="center" vertical="center" wrapText="1"/>
    </xf>
    <xf numFmtId="10" fontId="9" fillId="0" borderId="28" xfId="0" applyNumberFormat="1" applyFont="1" applyBorder="1" applyAlignment="1">
      <alignment horizontal="right" vertical="center"/>
    </xf>
    <xf numFmtId="2" fontId="9" fillId="0" borderId="28" xfId="0" applyNumberFormat="1" applyFont="1" applyBorder="1" applyAlignment="1">
      <alignment horizontal="right" vertical="center"/>
    </xf>
    <xf numFmtId="4" fontId="9" fillId="0" borderId="28" xfId="0" applyNumberFormat="1" applyFont="1" applyBorder="1" applyAlignment="1">
      <alignment horizontal="right" vertical="center"/>
    </xf>
    <xf numFmtId="0" fontId="42" fillId="0" borderId="17" xfId="0" applyFont="1" applyBorder="1" applyAlignment="1">
      <alignment horizontal="center" vertical="center"/>
    </xf>
    <xf numFmtId="0" fontId="9" fillId="0" borderId="44" xfId="0" applyFont="1" applyBorder="1" applyAlignment="1">
      <alignment vertical="center"/>
    </xf>
    <xf numFmtId="4" fontId="9" fillId="0" borderId="28" xfId="0" applyNumberFormat="1" applyFont="1" applyBorder="1" applyAlignment="1">
      <alignment vertical="center"/>
    </xf>
    <xf numFmtId="3" fontId="42" fillId="0" borderId="17" xfId="0" applyNumberFormat="1" applyFont="1" applyBorder="1" applyAlignment="1">
      <alignment vertical="center"/>
    </xf>
    <xf numFmtId="3" fontId="9" fillId="0" borderId="8" xfId="0" applyNumberFormat="1" applyFont="1" applyBorder="1" applyAlignment="1">
      <alignment vertical="center"/>
    </xf>
    <xf numFmtId="173" fontId="9" fillId="0" borderId="17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right" vertical="center" wrapText="1"/>
    </xf>
    <xf numFmtId="2" fontId="9" fillId="0" borderId="17" xfId="0" applyNumberFormat="1" applyFont="1" applyBorder="1" applyAlignment="1">
      <alignment horizontal="right" vertical="center"/>
    </xf>
    <xf numFmtId="4" fontId="9" fillId="0" borderId="17" xfId="0" applyNumberFormat="1" applyFont="1" applyBorder="1" applyAlignment="1">
      <alignment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8" xfId="0" applyFont="1" applyBorder="1" applyAlignment="1">
      <alignment vertical="center"/>
    </xf>
    <xf numFmtId="2" fontId="9" fillId="0" borderId="28" xfId="0" applyNumberFormat="1" applyFont="1" applyBorder="1" applyAlignment="1">
      <alignment vertical="center"/>
    </xf>
    <xf numFmtId="0" fontId="9" fillId="3" borderId="17" xfId="0" applyFont="1" applyFill="1" applyBorder="1" applyAlignment="1">
      <alignment vertical="center" wrapText="1"/>
    </xf>
    <xf numFmtId="0" fontId="9" fillId="3" borderId="17" xfId="0" applyFont="1" applyFill="1" applyBorder="1" applyAlignment="1">
      <alignment horizontal="left" vertical="center" wrapText="1"/>
    </xf>
    <xf numFmtId="4" fontId="9" fillId="3" borderId="17" xfId="0" applyNumberFormat="1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right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/>
    </xf>
    <xf numFmtId="0" fontId="70" fillId="0" borderId="0" xfId="0" applyFont="1" applyAlignment="1"/>
    <xf numFmtId="4" fontId="11" fillId="0" borderId="17" xfId="0" applyNumberFormat="1" applyFont="1" applyBorder="1" applyAlignment="1">
      <alignment vertical="center" wrapText="1"/>
    </xf>
    <xf numFmtId="0" fontId="48" fillId="0" borderId="8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2" fontId="9" fillId="0" borderId="5" xfId="0" applyNumberFormat="1" applyFont="1" applyBorder="1" applyAlignment="1">
      <alignment horizontal="right" vertical="center"/>
    </xf>
    <xf numFmtId="4" fontId="9" fillId="0" borderId="44" xfId="0" applyNumberFormat="1" applyFont="1" applyBorder="1" applyAlignment="1">
      <alignment vertical="center" wrapText="1"/>
    </xf>
    <xf numFmtId="0" fontId="9" fillId="0" borderId="5" xfId="0" applyFont="1" applyBorder="1" applyAlignment="1">
      <alignment horizontal="justify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vertical="center" wrapText="1"/>
    </xf>
    <xf numFmtId="0" fontId="71" fillId="0" borderId="0" xfId="0" applyFont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34" fillId="0" borderId="28" xfId="0" applyFont="1" applyBorder="1" applyAlignment="1">
      <alignment horizontal="center" vertical="center" wrapText="1"/>
    </xf>
    <xf numFmtId="4" fontId="9" fillId="0" borderId="28" xfId="0" applyNumberFormat="1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66" fillId="0" borderId="0" xfId="0" applyFont="1" applyBorder="1" applyAlignment="1">
      <alignment horizontal="left" vertical="center"/>
    </xf>
    <xf numFmtId="0" fontId="73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 wrapText="1"/>
    </xf>
    <xf numFmtId="16" fontId="73" fillId="0" borderId="0" xfId="0" applyNumberFormat="1" applyFont="1" applyBorder="1" applyAlignment="1">
      <alignment horizontal="left" vertical="center"/>
    </xf>
    <xf numFmtId="0" fontId="9" fillId="0" borderId="17" xfId="0" applyFont="1" applyBorder="1" applyAlignment="1">
      <alignment horizontal="justify" vertical="center" wrapText="1"/>
    </xf>
    <xf numFmtId="0" fontId="9" fillId="0" borderId="17" xfId="0" applyFont="1" applyFill="1" applyBorder="1" applyAlignment="1">
      <alignment vertical="center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9" fillId="0" borderId="17" xfId="0" applyFont="1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4" fillId="0" borderId="0" xfId="36" applyFont="1" applyFill="1" applyBorder="1" applyAlignment="1" applyProtection="1">
      <alignment vertical="center"/>
      <protection locked="0"/>
    </xf>
    <xf numFmtId="0" fontId="4" fillId="0" borderId="0" xfId="33" applyFont="1" applyBorder="1" applyAlignment="1" applyProtection="1">
      <alignment vertical="center"/>
      <protection locked="0"/>
    </xf>
    <xf numFmtId="0" fontId="74" fillId="0" borderId="0" xfId="32" applyFont="1" applyAlignment="1">
      <alignment vertical="center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0" fontId="4" fillId="0" borderId="3" xfId="7" applyFont="1" applyBorder="1" applyAlignment="1">
      <alignment horizontal="center" vertical="center" wrapText="1"/>
    </xf>
    <xf numFmtId="4" fontId="4" fillId="0" borderId="29" xfId="7" applyNumberFormat="1" applyFont="1" applyBorder="1" applyAlignment="1">
      <alignment horizontal="right" vertical="center"/>
    </xf>
    <xf numFmtId="0" fontId="4" fillId="5" borderId="23" xfId="7" applyFont="1" applyFill="1" applyBorder="1" applyAlignment="1">
      <alignment horizontal="center" vertical="center" wrapText="1"/>
    </xf>
    <xf numFmtId="0" fontId="28" fillId="5" borderId="17" xfId="7" applyFont="1" applyFill="1" applyBorder="1" applyAlignment="1">
      <alignment vertical="center"/>
    </xf>
    <xf numFmtId="4" fontId="28" fillId="5" borderId="61" xfId="38" applyNumberFormat="1" applyFont="1" applyFill="1" applyBorder="1" applyAlignment="1" applyProtection="1">
      <alignment vertical="center"/>
      <protection locked="0"/>
    </xf>
    <xf numFmtId="165" fontId="29" fillId="5" borderId="45" xfId="7" applyNumberFormat="1" applyFont="1" applyFill="1" applyBorder="1" applyAlignment="1">
      <alignment vertical="center" wrapText="1"/>
    </xf>
    <xf numFmtId="0" fontId="27" fillId="5" borderId="61" xfId="7" applyFont="1" applyFill="1" applyBorder="1" applyAlignment="1">
      <alignment vertical="center"/>
    </xf>
    <xf numFmtId="4" fontId="28" fillId="5" borderId="29" xfId="7" applyNumberFormat="1" applyFont="1" applyFill="1" applyBorder="1" applyAlignment="1">
      <alignment vertical="center"/>
    </xf>
    <xf numFmtId="0" fontId="27" fillId="0" borderId="68" xfId="7" applyFont="1" applyBorder="1" applyAlignment="1">
      <alignment vertical="center"/>
    </xf>
    <xf numFmtId="2" fontId="58" fillId="0" borderId="29" xfId="3" quotePrefix="1" applyNumberFormat="1" applyFont="1" applyFill="1" applyBorder="1" applyAlignment="1">
      <alignment horizontal="center" vertical="center" wrapText="1"/>
    </xf>
    <xf numFmtId="0" fontId="60" fillId="0" borderId="29" xfId="7" applyFont="1" applyBorder="1" applyAlignment="1">
      <alignment vertical="center"/>
    </xf>
    <xf numFmtId="0" fontId="60" fillId="0" borderId="29" xfId="7" applyFont="1" applyBorder="1" applyAlignment="1">
      <alignment horizontal="right" vertical="center"/>
    </xf>
    <xf numFmtId="166" fontId="61" fillId="0" borderId="29" xfId="3" quotePrefix="1" applyNumberFormat="1" applyFont="1" applyBorder="1" applyAlignment="1">
      <alignment horizontal="center" vertical="center" wrapText="1"/>
    </xf>
    <xf numFmtId="0" fontId="29" fillId="0" borderId="64" xfId="7" applyFont="1" applyBorder="1" applyAlignment="1">
      <alignment vertical="center" wrapText="1"/>
    </xf>
    <xf numFmtId="0" fontId="26" fillId="0" borderId="61" xfId="7" applyFont="1" applyFill="1" applyBorder="1" applyAlignment="1">
      <alignment horizontal="center" vertical="center" wrapText="1"/>
    </xf>
    <xf numFmtId="0" fontId="26" fillId="0" borderId="61" xfId="7" applyFont="1" applyBorder="1" applyAlignment="1">
      <alignment horizontal="center" vertical="center" wrapText="1"/>
    </xf>
    <xf numFmtId="0" fontId="36" fillId="0" borderId="61" xfId="7" applyFont="1" applyBorder="1" applyAlignment="1">
      <alignment horizontal="center" vertical="center" wrapText="1"/>
    </xf>
    <xf numFmtId="0" fontId="34" fillId="3" borderId="73" xfId="7" applyFont="1" applyFill="1" applyBorder="1" applyAlignment="1">
      <alignment horizontal="center" vertical="center" wrapText="1"/>
    </xf>
    <xf numFmtId="4" fontId="5" fillId="0" borderId="17" xfId="0" applyNumberFormat="1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75" fillId="0" borderId="0" xfId="0" applyFont="1" applyBorder="1" applyAlignment="1" applyProtection="1">
      <alignment vertical="center"/>
      <protection locked="0"/>
    </xf>
    <xf numFmtId="4" fontId="75" fillId="0" borderId="0" xfId="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75" fillId="0" borderId="0" xfId="0" applyFont="1" applyBorder="1" applyAlignment="1" applyProtection="1">
      <alignment horizontal="center" vertical="center"/>
      <protection locked="0"/>
    </xf>
    <xf numFmtId="2" fontId="75" fillId="0" borderId="0" xfId="0" applyNumberFormat="1" applyFont="1" applyBorder="1" applyAlignment="1" applyProtection="1">
      <alignment horizontal="center" vertical="center" wrapText="1"/>
      <protection locked="0"/>
    </xf>
    <xf numFmtId="0" fontId="76" fillId="0" borderId="0" xfId="0" applyFont="1" applyAlignment="1">
      <alignment vertical="center" wrapText="1"/>
    </xf>
    <xf numFmtId="0" fontId="5" fillId="0" borderId="0" xfId="0" applyFont="1" applyFill="1" applyAlignment="1"/>
    <xf numFmtId="2" fontId="4" fillId="0" borderId="0" xfId="0" applyNumberFormat="1" applyFont="1" applyBorder="1" applyAlignment="1" applyProtection="1">
      <alignment vertical="center" wrapText="1"/>
      <protection locked="0"/>
    </xf>
    <xf numFmtId="0" fontId="62" fillId="0" borderId="0" xfId="39" applyFont="1" applyAlignment="1">
      <alignment vertical="center" wrapText="1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67" xfId="0" applyFont="1" applyBorder="1" applyAlignment="1" applyProtection="1">
      <alignment horizontal="center" vertical="center" wrapText="1"/>
      <protection locked="0"/>
    </xf>
    <xf numFmtId="4" fontId="5" fillId="0" borderId="14" xfId="0" applyNumberFormat="1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2" fontId="5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62" fillId="0" borderId="0" xfId="39" applyFont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  <protection locked="0"/>
    </xf>
    <xf numFmtId="4" fontId="4" fillId="0" borderId="0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4" fontId="4" fillId="0" borderId="17" xfId="0" applyNumberFormat="1" applyFont="1" applyBorder="1" applyAlignment="1" applyProtection="1">
      <alignment horizontal="center" vertical="center"/>
      <protection locked="0"/>
    </xf>
    <xf numFmtId="4" fontId="27" fillId="0" borderId="17" xfId="0" applyNumberFormat="1" applyFont="1" applyBorder="1" applyAlignment="1" applyProtection="1">
      <alignment horizontal="center" vertical="center" wrapText="1"/>
      <protection locked="0"/>
    </xf>
    <xf numFmtId="4" fontId="4" fillId="0" borderId="0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vertical="center"/>
      <protection locked="0"/>
    </xf>
    <xf numFmtId="4" fontId="26" fillId="0" borderId="17" xfId="0" applyNumberFormat="1" applyFont="1" applyBorder="1" applyAlignment="1" applyProtection="1">
      <alignment vertical="center" wrapText="1"/>
      <protection locked="0"/>
    </xf>
    <xf numFmtId="4" fontId="77" fillId="0" borderId="0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/>
      <protection locked="0"/>
    </xf>
    <xf numFmtId="4" fontId="5" fillId="0" borderId="17" xfId="0" applyNumberFormat="1" applyFont="1" applyBorder="1" applyAlignment="1" applyProtection="1">
      <alignment horizontal="center" vertical="center"/>
      <protection locked="0"/>
    </xf>
    <xf numFmtId="4" fontId="5" fillId="0" borderId="3" xfId="0" applyNumberFormat="1" applyFont="1" applyBorder="1" applyAlignment="1" applyProtection="1">
      <alignment horizontal="center" vertical="center"/>
      <protection locked="0"/>
    </xf>
    <xf numFmtId="10" fontId="4" fillId="0" borderId="17" xfId="0" applyNumberFormat="1" applyFont="1" applyBorder="1" applyAlignment="1" applyProtection="1">
      <alignment horizontal="center" vertical="center"/>
      <protection locked="0"/>
    </xf>
    <xf numFmtId="43" fontId="4" fillId="0" borderId="17" xfId="37" applyFont="1" applyFill="1" applyBorder="1" applyAlignment="1" applyProtection="1">
      <alignment horizontal="center" vertical="center" wrapText="1"/>
      <protection locked="0"/>
    </xf>
    <xf numFmtId="4" fontId="4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79" fillId="0" borderId="53" xfId="0" applyFont="1" applyBorder="1" applyAlignment="1">
      <alignment horizontal="center" vertical="center" wrapText="1"/>
    </xf>
    <xf numFmtId="0" fontId="79" fillId="0" borderId="70" xfId="0" applyFont="1" applyBorder="1" applyAlignment="1">
      <alignment horizontal="center" vertical="center" wrapText="1"/>
    </xf>
    <xf numFmtId="0" fontId="79" fillId="0" borderId="36" xfId="0" applyFont="1" applyBorder="1" applyAlignment="1">
      <alignment horizontal="center" vertical="center" wrapText="1"/>
    </xf>
    <xf numFmtId="0" fontId="79" fillId="0" borderId="70" xfId="0" applyFont="1" applyBorder="1" applyAlignment="1">
      <alignment vertical="center" wrapText="1"/>
    </xf>
    <xf numFmtId="0" fontId="79" fillId="0" borderId="36" xfId="0" applyFont="1" applyBorder="1" applyAlignment="1">
      <alignment vertical="center" wrapText="1"/>
    </xf>
    <xf numFmtId="0" fontId="4" fillId="0" borderId="7" xfId="0" applyFont="1" applyBorder="1" applyAlignment="1" applyProtection="1">
      <alignment horizontal="center" vertical="center"/>
      <protection locked="0"/>
    </xf>
    <xf numFmtId="0" fontId="8" fillId="0" borderId="10" xfId="30" applyFont="1" applyFill="1" applyBorder="1" applyAlignment="1">
      <alignment vertical="center"/>
    </xf>
    <xf numFmtId="0" fontId="4" fillId="0" borderId="10" xfId="0" applyFont="1" applyBorder="1" applyAlignment="1" applyProtection="1">
      <alignment vertical="center"/>
      <protection locked="0"/>
    </xf>
    <xf numFmtId="4" fontId="5" fillId="0" borderId="12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center" vertical="center" wrapText="1"/>
      <protection locked="0"/>
    </xf>
    <xf numFmtId="2" fontId="4" fillId="0" borderId="0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Border="1" applyAlignment="1" applyProtection="1">
      <alignment horizontal="center" vertical="center"/>
      <protection locked="0"/>
    </xf>
    <xf numFmtId="4" fontId="78" fillId="0" borderId="2" xfId="0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4" fontId="5" fillId="0" borderId="19" xfId="0" applyNumberFormat="1" applyFont="1" applyBorder="1" applyAlignment="1" applyProtection="1">
      <alignment vertical="center" wrapText="1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4" fontId="4" fillId="0" borderId="19" xfId="0" applyNumberFormat="1" applyFont="1" applyBorder="1" applyAlignment="1" applyProtection="1">
      <alignment horizontal="center" vertical="center" wrapText="1"/>
      <protection locked="0"/>
    </xf>
    <xf numFmtId="4" fontId="4" fillId="0" borderId="50" xfId="0" applyNumberFormat="1" applyFont="1" applyBorder="1" applyAlignment="1" applyProtection="1">
      <alignment horizontal="right" vertical="center"/>
      <protection locked="0"/>
    </xf>
    <xf numFmtId="0" fontId="9" fillId="0" borderId="52" xfId="36" applyFont="1" applyFill="1" applyBorder="1" applyAlignment="1">
      <alignment horizontal="center" vertical="center" wrapText="1"/>
    </xf>
    <xf numFmtId="0" fontId="9" fillId="0" borderId="44" xfId="36" applyFont="1" applyFill="1" applyBorder="1" applyAlignment="1">
      <alignment horizontal="center" vertical="center" wrapText="1"/>
    </xf>
    <xf numFmtId="168" fontId="9" fillId="0" borderId="17" xfId="36" applyNumberFormat="1" applyFont="1" applyFill="1" applyBorder="1" applyAlignment="1">
      <alignment horizontal="center" vertical="center" wrapText="1"/>
    </xf>
    <xf numFmtId="1" fontId="9" fillId="0" borderId="17" xfId="36" applyNumberFormat="1" applyFont="1" applyFill="1" applyBorder="1" applyAlignment="1">
      <alignment horizontal="center" vertical="center" wrapText="1"/>
    </xf>
    <xf numFmtId="0" fontId="62" fillId="0" borderId="0" xfId="3" quotePrefix="1" applyFont="1" applyBorder="1" applyAlignment="1">
      <alignment horizontal="right" vertical="center" wrapText="1"/>
    </xf>
    <xf numFmtId="4" fontId="62" fillId="0" borderId="0" xfId="4" applyNumberFormat="1" applyFont="1" applyBorder="1" applyAlignment="1">
      <alignment horizontal="right" vertical="center" wrapText="1"/>
    </xf>
    <xf numFmtId="0" fontId="62" fillId="0" borderId="0" xfId="0" applyFont="1" applyBorder="1" applyAlignment="1">
      <alignment vertical="center" wrapText="1"/>
    </xf>
    <xf numFmtId="4" fontId="62" fillId="0" borderId="0" xfId="0" applyNumberFormat="1" applyFont="1" applyBorder="1" applyAlignment="1">
      <alignment vertical="center" wrapText="1"/>
    </xf>
    <xf numFmtId="0" fontId="62" fillId="0" borderId="0" xfId="0" applyFont="1" applyAlignment="1">
      <alignment vertical="center" wrapText="1"/>
    </xf>
    <xf numFmtId="0" fontId="5" fillId="0" borderId="0" xfId="33" applyFont="1" applyBorder="1" applyAlignment="1" applyProtection="1">
      <alignment vertical="center"/>
      <protection locked="0"/>
    </xf>
    <xf numFmtId="0" fontId="5" fillId="0" borderId="0" xfId="33" applyFont="1" applyBorder="1" applyAlignment="1" applyProtection="1">
      <alignment horizontal="center" vertical="center"/>
      <protection locked="0"/>
    </xf>
    <xf numFmtId="2" fontId="5" fillId="0" borderId="0" xfId="33" applyNumberFormat="1" applyFont="1" applyBorder="1" applyAlignment="1" applyProtection="1">
      <alignment horizontal="left" vertical="center"/>
      <protection locked="0"/>
    </xf>
    <xf numFmtId="0" fontId="80" fillId="0" borderId="0" xfId="33" applyFont="1" applyBorder="1" applyAlignment="1" applyProtection="1">
      <alignment vertical="center" wrapText="1"/>
      <protection locked="0"/>
    </xf>
    <xf numFmtId="0" fontId="37" fillId="0" borderId="0" xfId="7" applyFont="1" applyAlignment="1">
      <alignment vertical="center"/>
    </xf>
    <xf numFmtId="4" fontId="4" fillId="0" borderId="0" xfId="36" applyNumberFormat="1" applyFont="1" applyFill="1" applyBorder="1" applyAlignment="1" applyProtection="1">
      <alignment horizontal="right" vertical="center"/>
      <protection locked="0"/>
    </xf>
    <xf numFmtId="0" fontId="5" fillId="0" borderId="0" xfId="33" applyFont="1" applyFill="1" applyBorder="1" applyAlignment="1" applyProtection="1">
      <alignment vertical="center"/>
      <protection locked="0"/>
    </xf>
    <xf numFmtId="2" fontId="5" fillId="0" borderId="0" xfId="36" applyNumberFormat="1" applyFont="1" applyFill="1" applyBorder="1" applyAlignment="1" applyProtection="1">
      <alignment horizontal="left" vertical="center"/>
      <protection locked="0"/>
    </xf>
    <xf numFmtId="0" fontId="80" fillId="0" borderId="0" xfId="7" applyFont="1" applyFill="1" applyAlignment="1">
      <alignment vertical="center" wrapText="1"/>
    </xf>
    <xf numFmtId="4" fontId="80" fillId="0" borderId="0" xfId="7" applyNumberFormat="1" applyFont="1" applyFill="1" applyAlignment="1">
      <alignment vertical="center" wrapText="1"/>
    </xf>
    <xf numFmtId="0" fontId="57" fillId="0" borderId="0" xfId="0" applyFont="1" applyFill="1" applyBorder="1" applyAlignment="1" applyProtection="1">
      <alignment horizontal="left" vertical="center" wrapText="1"/>
      <protection locked="0"/>
    </xf>
    <xf numFmtId="173" fontId="9" fillId="0" borderId="28" xfId="0" applyNumberFormat="1" applyFont="1" applyFill="1" applyBorder="1" applyAlignment="1">
      <alignment horizontal="center" vertical="center" wrapText="1"/>
    </xf>
    <xf numFmtId="0" fontId="9" fillId="0" borderId="44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4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9" fillId="0" borderId="37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42" fillId="0" borderId="28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42" fillId="0" borderId="47" xfId="0" applyFont="1" applyBorder="1" applyAlignment="1">
      <alignment vertical="center"/>
    </xf>
    <xf numFmtId="0" fontId="42" fillId="0" borderId="48" xfId="0" applyFont="1" applyBorder="1" applyAlignment="1">
      <alignment vertical="center"/>
    </xf>
    <xf numFmtId="0" fontId="81" fillId="0" borderId="5" xfId="0" applyFont="1" applyBorder="1" applyAlignment="1">
      <alignment vertical="center"/>
    </xf>
    <xf numFmtId="0" fontId="69" fillId="0" borderId="42" xfId="0" applyFont="1" applyBorder="1" applyAlignment="1">
      <alignment vertical="center"/>
    </xf>
    <xf numFmtId="3" fontId="9" fillId="0" borderId="70" xfId="0" applyNumberFormat="1" applyFont="1" applyBorder="1" applyAlignment="1">
      <alignment vertical="center"/>
    </xf>
    <xf numFmtId="0" fontId="66" fillId="0" borderId="42" xfId="0" applyFont="1" applyBorder="1" applyAlignment="1">
      <alignment horizontal="center" vertical="center"/>
    </xf>
    <xf numFmtId="0" fontId="48" fillId="0" borderId="44" xfId="0" applyFont="1" applyFill="1" applyBorder="1" applyAlignment="1">
      <alignment vertical="center"/>
    </xf>
    <xf numFmtId="2" fontId="48" fillId="0" borderId="44" xfId="0" applyNumberFormat="1" applyFont="1" applyFill="1" applyBorder="1" applyAlignment="1">
      <alignment vertical="center"/>
    </xf>
    <xf numFmtId="0" fontId="81" fillId="0" borderId="42" xfId="0" applyFont="1" applyFill="1" applyBorder="1" applyAlignment="1">
      <alignment vertical="center"/>
    </xf>
    <xf numFmtId="0" fontId="82" fillId="0" borderId="42" xfId="0" applyFont="1" applyBorder="1" applyAlignment="1">
      <alignment vertical="center" wrapText="1"/>
    </xf>
    <xf numFmtId="2" fontId="48" fillId="0" borderId="44" xfId="0" applyNumberFormat="1" applyFont="1" applyBorder="1" applyAlignment="1">
      <alignment vertical="center"/>
    </xf>
    <xf numFmtId="0" fontId="69" fillId="0" borderId="42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4" fontId="5" fillId="0" borderId="17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4" borderId="37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4" fontId="5" fillId="4" borderId="17" xfId="0" applyNumberFormat="1" applyFont="1" applyFill="1" applyBorder="1" applyAlignment="1">
      <alignment vertical="center" wrapText="1"/>
    </xf>
    <xf numFmtId="0" fontId="11" fillId="3" borderId="0" xfId="0" applyFont="1" applyFill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 wrapText="1"/>
    </xf>
    <xf numFmtId="0" fontId="4" fillId="0" borderId="18" xfId="0" applyFont="1" applyFill="1" applyBorder="1" applyAlignment="1" applyProtection="1">
      <alignment horizontal="right" vertical="center" wrapText="1"/>
      <protection locked="0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62" fillId="0" borderId="0" xfId="3" quotePrefix="1" applyFont="1" applyBorder="1" applyAlignment="1">
      <alignment horizontal="left" vertical="center" wrapText="1"/>
    </xf>
    <xf numFmtId="0" fontId="5" fillId="6" borderId="67" xfId="7" applyFont="1" applyFill="1" applyBorder="1" applyAlignment="1">
      <alignment horizontal="center" vertical="center" wrapText="1"/>
    </xf>
    <xf numFmtId="0" fontId="28" fillId="6" borderId="14" xfId="7" applyFont="1" applyFill="1" applyBorder="1" applyAlignment="1">
      <alignment vertical="center" wrapText="1"/>
    </xf>
    <xf numFmtId="4" fontId="28" fillId="6" borderId="64" xfId="38" applyNumberFormat="1" applyFont="1" applyFill="1" applyBorder="1" applyAlignment="1" applyProtection="1">
      <alignment vertical="center"/>
      <protection locked="0"/>
    </xf>
    <xf numFmtId="165" fontId="29" fillId="6" borderId="67" xfId="7" applyNumberFormat="1" applyFont="1" applyFill="1" applyBorder="1" applyAlignment="1">
      <alignment vertical="center" wrapText="1"/>
    </xf>
    <xf numFmtId="0" fontId="27" fillId="6" borderId="38" xfId="7" applyFont="1" applyFill="1" applyBorder="1" applyAlignment="1">
      <alignment vertical="center"/>
    </xf>
    <xf numFmtId="4" fontId="28" fillId="6" borderId="64" xfId="7" applyNumberFormat="1" applyFont="1" applyFill="1" applyBorder="1" applyAlignment="1">
      <alignment vertical="center"/>
    </xf>
    <xf numFmtId="0" fontId="4" fillId="3" borderId="0" xfId="7" applyFont="1" applyFill="1" applyAlignment="1">
      <alignment vertical="center"/>
    </xf>
    <xf numFmtId="49" fontId="4" fillId="0" borderId="23" xfId="7" applyNumberFormat="1" applyFont="1" applyFill="1" applyBorder="1" applyAlignment="1">
      <alignment horizontal="center" vertical="center" wrapText="1"/>
    </xf>
    <xf numFmtId="0" fontId="27" fillId="0" borderId="17" xfId="7" applyFont="1" applyFill="1" applyBorder="1" applyAlignment="1">
      <alignment vertical="center" wrapText="1"/>
    </xf>
    <xf numFmtId="4" fontId="27" fillId="0" borderId="61" xfId="38" applyNumberFormat="1" applyFont="1" applyFill="1" applyBorder="1" applyAlignment="1" applyProtection="1">
      <alignment vertical="center"/>
      <protection locked="0"/>
    </xf>
    <xf numFmtId="165" fontId="34" fillId="0" borderId="23" xfId="7" applyNumberFormat="1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4" fontId="27" fillId="0" borderId="61" xfId="7" applyNumberFormat="1" applyFont="1" applyFill="1" applyBorder="1" applyAlignment="1">
      <alignment vertical="center"/>
    </xf>
    <xf numFmtId="0" fontId="5" fillId="7" borderId="69" xfId="7" applyFont="1" applyFill="1" applyBorder="1" applyAlignment="1">
      <alignment horizontal="center" vertical="center" wrapText="1"/>
    </xf>
    <xf numFmtId="4" fontId="28" fillId="7" borderId="70" xfId="38" applyNumberFormat="1" applyFont="1" applyFill="1" applyBorder="1" applyAlignment="1">
      <alignment vertical="center" wrapText="1"/>
    </xf>
    <xf numFmtId="164" fontId="80" fillId="7" borderId="69" xfId="7" applyNumberFormat="1" applyFont="1" applyFill="1" applyBorder="1" applyAlignment="1">
      <alignment vertical="center" wrapText="1"/>
    </xf>
    <xf numFmtId="164" fontId="4" fillId="7" borderId="33" xfId="7" applyNumberFormat="1" applyFont="1" applyFill="1" applyBorder="1" applyAlignment="1">
      <alignment vertical="center"/>
    </xf>
    <xf numFmtId="4" fontId="5" fillId="7" borderId="70" xfId="7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5" xfId="0" applyFont="1" applyFill="1" applyBorder="1" applyAlignment="1" applyProtection="1">
      <alignment horizontal="left" vertical="top" wrapText="1"/>
      <protection locked="0"/>
    </xf>
    <xf numFmtId="0" fontId="9" fillId="0" borderId="41" xfId="0" applyFont="1" applyFill="1" applyBorder="1" applyAlignment="1" applyProtection="1">
      <alignment horizontal="left" vertical="top" wrapText="1"/>
      <protection locked="0"/>
    </xf>
    <xf numFmtId="4" fontId="83" fillId="0" borderId="17" xfId="0" applyNumberFormat="1" applyFont="1" applyFill="1" applyBorder="1" applyAlignment="1" applyProtection="1">
      <alignment vertical="center"/>
      <protection locked="0"/>
    </xf>
    <xf numFmtId="0" fontId="9" fillId="0" borderId="2" xfId="0" applyFont="1" applyFill="1" applyBorder="1" applyAlignment="1" applyProtection="1">
      <alignment horizontal="right" vertical="top" wrapText="1"/>
      <protection locked="0"/>
    </xf>
    <xf numFmtId="0" fontId="11" fillId="0" borderId="17" xfId="0" applyFont="1" applyBorder="1" applyAlignment="1">
      <alignment vertical="center"/>
    </xf>
    <xf numFmtId="0" fontId="84" fillId="0" borderId="17" xfId="0" applyFont="1" applyBorder="1" applyAlignment="1">
      <alignment horizontal="center" vertical="center" wrapText="1"/>
    </xf>
    <xf numFmtId="3" fontId="9" fillId="0" borderId="0" xfId="0" applyNumberFormat="1" applyFont="1" applyAlignment="1">
      <alignment vertical="center"/>
    </xf>
    <xf numFmtId="3" fontId="60" fillId="0" borderId="0" xfId="0" applyNumberFormat="1" applyFont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48" fillId="0" borderId="28" xfId="0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28" xfId="0" applyNumberFormat="1" applyFont="1" applyFill="1" applyBorder="1" applyAlignment="1">
      <alignment horizontal="center" vertical="center" wrapText="1"/>
    </xf>
    <xf numFmtId="4" fontId="9" fillId="0" borderId="14" xfId="36" applyNumberFormat="1" applyFont="1" applyFill="1" applyBorder="1" applyAlignment="1">
      <alignment horizontal="center" vertical="center" wrapText="1"/>
    </xf>
    <xf numFmtId="4" fontId="9" fillId="0" borderId="68" xfId="36" applyNumberFormat="1" applyFont="1" applyFill="1" applyBorder="1" applyAlignment="1">
      <alignment horizontal="right" vertical="center" wrapText="1"/>
    </xf>
    <xf numFmtId="4" fontId="9" fillId="0" borderId="1" xfId="36" applyNumberFormat="1" applyFont="1" applyFill="1" applyBorder="1" applyAlignment="1">
      <alignment horizontal="center" vertical="center" wrapText="1"/>
    </xf>
    <xf numFmtId="1" fontId="9" fillId="0" borderId="44" xfId="0" applyNumberFormat="1" applyFont="1" applyFill="1" applyBorder="1" applyAlignment="1" applyProtection="1">
      <alignment horizontal="left"/>
      <protection locked="0"/>
    </xf>
    <xf numFmtId="2" fontId="9" fillId="0" borderId="17" xfId="36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 applyProtection="1">
      <alignment vertical="center" wrapText="1"/>
      <protection locked="0"/>
    </xf>
    <xf numFmtId="0" fontId="11" fillId="0" borderId="17" xfId="0" applyFont="1" applyBorder="1" applyAlignment="1" applyProtection="1">
      <alignment horizontal="left" vertical="center" wrapText="1"/>
      <protection locked="0"/>
    </xf>
    <xf numFmtId="0" fontId="11" fillId="0" borderId="17" xfId="0" applyFont="1" applyFill="1" applyBorder="1" applyAlignment="1" applyProtection="1">
      <alignment horizontal="left" vertical="center" wrapText="1"/>
      <protection locked="0"/>
    </xf>
    <xf numFmtId="0" fontId="9" fillId="0" borderId="28" xfId="36" applyFont="1" applyFill="1" applyBorder="1" applyAlignment="1">
      <alignment horizontal="center" vertical="center" wrapText="1"/>
    </xf>
    <xf numFmtId="0" fontId="9" fillId="0" borderId="28" xfId="36" applyFont="1" applyFill="1" applyBorder="1" applyAlignment="1">
      <alignment horizontal="left" vertical="center" wrapText="1"/>
    </xf>
    <xf numFmtId="2" fontId="9" fillId="0" borderId="14" xfId="36" applyNumberFormat="1" applyFont="1" applyFill="1" applyBorder="1" applyAlignment="1">
      <alignment horizontal="right" vertical="center" wrapText="1"/>
    </xf>
    <xf numFmtId="2" fontId="9" fillId="0" borderId="28" xfId="36" applyNumberFormat="1" applyFont="1" applyFill="1" applyBorder="1" applyAlignment="1">
      <alignment horizontal="right" vertical="center" wrapText="1"/>
    </xf>
    <xf numFmtId="0" fontId="9" fillId="0" borderId="14" xfId="36" applyFont="1" applyFill="1" applyBorder="1" applyAlignment="1">
      <alignment vertical="center" wrapText="1"/>
    </xf>
    <xf numFmtId="0" fontId="9" fillId="0" borderId="0" xfId="0" applyNumberFormat="1" applyFont="1" applyFill="1"/>
    <xf numFmtId="10" fontId="9" fillId="0" borderId="0" xfId="0" applyNumberFormat="1" applyFont="1" applyFill="1"/>
    <xf numFmtId="10" fontId="9" fillId="0" borderId="17" xfId="36" applyNumberFormat="1" applyFont="1" applyFill="1" applyBorder="1" applyAlignment="1">
      <alignment horizontal="left" vertical="center" wrapText="1"/>
    </xf>
    <xf numFmtId="10" fontId="9" fillId="0" borderId="44" xfId="36" applyNumberFormat="1" applyFont="1" applyFill="1" applyBorder="1" applyAlignment="1">
      <alignment horizontal="center" vertical="center" wrapText="1"/>
    </xf>
    <xf numFmtId="0" fontId="9" fillId="0" borderId="17" xfId="36" applyNumberFormat="1" applyFont="1" applyFill="1" applyBorder="1" applyAlignment="1">
      <alignment horizontal="center" vertical="center" wrapText="1"/>
    </xf>
    <xf numFmtId="0" fontId="4" fillId="6" borderId="38" xfId="7" applyFont="1" applyFill="1" applyBorder="1" applyAlignment="1">
      <alignment horizontal="center" vertical="center" wrapText="1"/>
    </xf>
    <xf numFmtId="0" fontId="4" fillId="0" borderId="51" xfId="7" applyFont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/>
    </xf>
    <xf numFmtId="0" fontId="5" fillId="0" borderId="1" xfId="7" applyFont="1" applyBorder="1" applyAlignment="1">
      <alignment vertical="center"/>
    </xf>
    <xf numFmtId="0" fontId="4" fillId="0" borderId="47" xfId="7" applyFont="1" applyBorder="1" applyAlignment="1">
      <alignment horizontal="center" vertical="center" wrapText="1"/>
    </xf>
    <xf numFmtId="0" fontId="4" fillId="0" borderId="68" xfId="7" applyFont="1" applyBorder="1" applyAlignment="1">
      <alignment horizontal="center" vertical="center" wrapText="1"/>
    </xf>
    <xf numFmtId="0" fontId="4" fillId="5" borderId="3" xfId="7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0" fontId="11" fillId="0" borderId="25" xfId="0" applyFont="1" applyFill="1" applyBorder="1" applyAlignment="1" applyProtection="1">
      <alignment horizontal="center" vertical="center" wrapText="1"/>
      <protection locked="0"/>
    </xf>
    <xf numFmtId="0" fontId="56" fillId="0" borderId="17" xfId="0" applyFont="1" applyFill="1" applyBorder="1" applyAlignment="1">
      <alignment horizontal="center" vertical="center" wrapText="1"/>
    </xf>
    <xf numFmtId="0" fontId="42" fillId="0" borderId="17" xfId="0" applyFont="1" applyFill="1" applyBorder="1" applyAlignment="1">
      <alignment vertical="center" wrapText="1"/>
    </xf>
    <xf numFmtId="0" fontId="11" fillId="0" borderId="0" xfId="0" applyFont="1" applyFill="1" applyBorder="1" applyAlignment="1" applyProtection="1">
      <alignment vertical="center"/>
      <protection locked="0"/>
    </xf>
    <xf numFmtId="0" fontId="11" fillId="0" borderId="53" xfId="0" applyFont="1" applyFill="1" applyBorder="1" applyAlignment="1" applyProtection="1">
      <alignment horizontal="center" vertical="center" wrapText="1"/>
      <protection locked="0"/>
    </xf>
    <xf numFmtId="4" fontId="11" fillId="0" borderId="5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60" xfId="0" applyFont="1" applyFill="1" applyBorder="1" applyAlignment="1" applyProtection="1">
      <alignment horizontal="left" vertical="top" wrapText="1"/>
      <protection locked="0"/>
    </xf>
    <xf numFmtId="4" fontId="9" fillId="0" borderId="40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7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9" fillId="0" borderId="44" xfId="0" applyFont="1" applyFill="1" applyBorder="1" applyAlignment="1" applyProtection="1">
      <alignment horizontal="right" vertical="center" wrapText="1"/>
      <protection locked="0"/>
    </xf>
    <xf numFmtId="2" fontId="9" fillId="0" borderId="2" xfId="36" applyNumberFormat="1" applyFont="1" applyBorder="1" applyAlignment="1">
      <alignment horizontal="center" vertical="center" wrapText="1"/>
    </xf>
    <xf numFmtId="4" fontId="9" fillId="0" borderId="44" xfId="0" applyNumberFormat="1" applyFont="1" applyFill="1" applyBorder="1" applyAlignment="1" applyProtection="1">
      <alignment horizontal="center" vertical="center"/>
      <protection locked="0"/>
    </xf>
    <xf numFmtId="0" fontId="26" fillId="0" borderId="44" xfId="0" applyFont="1" applyFill="1" applyBorder="1" applyAlignment="1" applyProtection="1">
      <alignment vertical="top" wrapText="1"/>
      <protection locked="0"/>
    </xf>
    <xf numFmtId="9" fontId="9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4" xfId="0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vertical="top" wrapText="1"/>
      <protection locked="0"/>
    </xf>
    <xf numFmtId="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vertical="center"/>
      <protection locked="0"/>
    </xf>
    <xf numFmtId="168" fontId="9" fillId="0" borderId="44" xfId="0" applyNumberFormat="1" applyFont="1" applyFill="1" applyBorder="1" applyAlignment="1" applyProtection="1">
      <alignment horizontal="center" vertical="center"/>
      <protection locked="0"/>
    </xf>
    <xf numFmtId="0" fontId="26" fillId="0" borderId="5" xfId="0" applyFont="1" applyFill="1" applyBorder="1" applyAlignment="1" applyProtection="1">
      <alignment vertical="center" wrapText="1"/>
      <protection locked="0"/>
    </xf>
    <xf numFmtId="168" fontId="9" fillId="0" borderId="5" xfId="0" applyNumberFormat="1" applyFont="1" applyFill="1" applyBorder="1" applyAlignment="1" applyProtection="1">
      <alignment horizontal="center" vertical="center"/>
      <protection locked="0"/>
    </xf>
    <xf numFmtId="0" fontId="26" fillId="0" borderId="5" xfId="0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vertical="center"/>
      <protection locked="0"/>
    </xf>
    <xf numFmtId="168" fontId="9" fillId="0" borderId="28" xfId="0" applyNumberFormat="1" applyFont="1" applyFill="1" applyBorder="1" applyAlignment="1" applyProtection="1">
      <alignment horizontal="center" vertical="center"/>
      <protection locked="0"/>
    </xf>
    <xf numFmtId="4" fontId="9" fillId="0" borderId="28" xfId="0" applyNumberFormat="1" applyFont="1" applyFill="1" applyBorder="1" applyAlignment="1" applyProtection="1">
      <alignment vertical="center"/>
      <protection locked="0"/>
    </xf>
    <xf numFmtId="0" fontId="26" fillId="0" borderId="28" xfId="0" applyFont="1" applyFill="1" applyBorder="1" applyAlignment="1" applyProtection="1">
      <alignment vertical="center" wrapText="1"/>
      <protection locked="0"/>
    </xf>
    <xf numFmtId="9" fontId="9" fillId="0" borderId="28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28" xfId="0" applyNumberFormat="1" applyFont="1" applyFill="1" applyBorder="1" applyAlignment="1" applyProtection="1">
      <alignment horizontal="center" vertical="center"/>
      <protection locked="0"/>
    </xf>
    <xf numFmtId="0" fontId="42" fillId="0" borderId="0" xfId="0" applyFont="1" applyFill="1" applyBorder="1" applyAlignment="1">
      <alignment vertical="center" wrapText="1"/>
    </xf>
    <xf numFmtId="0" fontId="56" fillId="0" borderId="0" xfId="0" applyFont="1" applyFill="1" applyBorder="1" applyAlignment="1">
      <alignment vertical="center" wrapText="1"/>
    </xf>
    <xf numFmtId="0" fontId="9" fillId="0" borderId="19" xfId="0" applyFont="1" applyFill="1" applyBorder="1" applyAlignment="1" applyProtection="1">
      <alignment vertical="center"/>
      <protection locked="0"/>
    </xf>
    <xf numFmtId="0" fontId="11" fillId="0" borderId="54" xfId="0" applyFont="1" applyFill="1" applyBorder="1" applyAlignment="1" applyProtection="1">
      <alignment horizontal="left" vertical="top" wrapText="1"/>
      <protection locked="0"/>
    </xf>
    <xf numFmtId="0" fontId="9" fillId="0" borderId="4" xfId="0" applyFont="1" applyFill="1" applyBorder="1" applyAlignment="1" applyProtection="1">
      <alignment horizontal="left" vertical="center" wrapText="1"/>
      <protection locked="0"/>
    </xf>
    <xf numFmtId="2" fontId="9" fillId="0" borderId="4" xfId="0" applyNumberFormat="1" applyFont="1" applyFill="1" applyBorder="1" applyAlignment="1" applyProtection="1">
      <alignment horizontal="center" vertical="center"/>
      <protection locked="0"/>
    </xf>
    <xf numFmtId="4" fontId="9" fillId="0" borderId="39" xfId="0" applyNumberFormat="1" applyFont="1" applyFill="1" applyBorder="1" applyAlignment="1" applyProtection="1">
      <alignment horizontal="center" vertical="center"/>
      <protection locked="0"/>
    </xf>
    <xf numFmtId="2" fontId="9" fillId="0" borderId="57" xfId="0" applyNumberFormat="1" applyFont="1" applyFill="1" applyBorder="1" applyAlignment="1" applyProtection="1">
      <alignment vertical="center"/>
      <protection locked="0"/>
    </xf>
    <xf numFmtId="4" fontId="9" fillId="0" borderId="19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Fill="1" applyBorder="1" applyAlignment="1" applyProtection="1">
      <alignment horizontal="left" vertical="center" wrapText="1"/>
      <protection locked="0"/>
    </xf>
    <xf numFmtId="2" fontId="9" fillId="0" borderId="19" xfId="0" applyNumberFormat="1" applyFont="1" applyFill="1" applyBorder="1" applyAlignment="1" applyProtection="1">
      <alignment horizontal="center" vertical="center"/>
      <protection locked="0"/>
    </xf>
    <xf numFmtId="2" fontId="9" fillId="0" borderId="50" xfId="0" applyNumberFormat="1" applyFont="1" applyFill="1" applyBorder="1" applyAlignment="1" applyProtection="1">
      <alignment vertical="center"/>
      <protection locked="0"/>
    </xf>
    <xf numFmtId="4" fontId="9" fillId="0" borderId="4" xfId="0" applyNumberFormat="1" applyFont="1" applyFill="1" applyBorder="1" applyAlignment="1" applyProtection="1">
      <alignment vertical="center"/>
      <protection locked="0"/>
    </xf>
    <xf numFmtId="4" fontId="9" fillId="0" borderId="74" xfId="0" applyNumberFormat="1" applyFont="1" applyFill="1" applyBorder="1" applyAlignment="1" applyProtection="1">
      <alignment horizontal="center" vertical="center"/>
      <protection locked="0"/>
    </xf>
    <xf numFmtId="4" fontId="9" fillId="0" borderId="6" xfId="0" applyNumberFormat="1" applyFont="1" applyFill="1" applyBorder="1" applyAlignment="1" applyProtection="1">
      <alignment horizontal="center" vertical="center"/>
      <protection locked="0"/>
    </xf>
    <xf numFmtId="0" fontId="9" fillId="0" borderId="69" xfId="0" applyFont="1" applyFill="1" applyBorder="1" applyAlignment="1" applyProtection="1">
      <alignment horizontal="right" vertical="top" wrapText="1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9" fillId="0" borderId="18" xfId="0" applyFont="1" applyFill="1" applyBorder="1" applyAlignment="1" applyProtection="1">
      <alignment horizontal="right" vertical="center" wrapText="1"/>
      <protection locked="0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4" fontId="11" fillId="0" borderId="14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 applyProtection="1">
      <alignment vertical="center"/>
    </xf>
    <xf numFmtId="0" fontId="9" fillId="0" borderId="14" xfId="0" applyFont="1" applyFill="1" applyBorder="1" applyAlignment="1" applyProtection="1">
      <alignment horizontal="left" vertical="center" wrapText="1"/>
      <protection locked="0"/>
    </xf>
    <xf numFmtId="2" fontId="9" fillId="0" borderId="14" xfId="0" applyNumberFormat="1" applyFont="1" applyFill="1" applyBorder="1" applyAlignment="1" applyProtection="1">
      <alignment horizontal="center" vertical="center"/>
      <protection locked="0"/>
    </xf>
    <xf numFmtId="0" fontId="11" fillId="0" borderId="16" xfId="0" applyFont="1" applyFill="1" applyBorder="1" applyAlignment="1" applyProtection="1">
      <alignment horizontal="left" vertical="top" wrapText="1"/>
      <protection locked="0"/>
    </xf>
    <xf numFmtId="0" fontId="11" fillId="0" borderId="17" xfId="0" applyFont="1" applyFill="1" applyBorder="1" applyAlignment="1" applyProtection="1">
      <alignment horizontal="center" vertical="top" wrapText="1"/>
      <protection locked="0"/>
    </xf>
    <xf numFmtId="0" fontId="9" fillId="0" borderId="16" xfId="0" applyFont="1" applyFill="1" applyBorder="1" applyAlignment="1" applyProtection="1">
      <alignment horizontal="left" vertical="top" wrapText="1"/>
      <protection locked="0"/>
    </xf>
    <xf numFmtId="0" fontId="9" fillId="0" borderId="16" xfId="0" applyFont="1" applyFill="1" applyBorder="1" applyAlignment="1" applyProtection="1">
      <alignment horizontal="right" vertical="top" wrapText="1"/>
      <protection locked="0"/>
    </xf>
    <xf numFmtId="4" fontId="9" fillId="0" borderId="44" xfId="0" applyNumberFormat="1" applyFont="1" applyFill="1" applyBorder="1" applyAlignment="1">
      <alignment horizontal="center" vertical="center"/>
    </xf>
    <xf numFmtId="4" fontId="9" fillId="0" borderId="44" xfId="0" applyNumberFormat="1" applyFont="1" applyFill="1" applyBorder="1" applyAlignment="1" applyProtection="1">
      <alignment vertical="center"/>
      <protection locked="0"/>
    </xf>
    <xf numFmtId="0" fontId="11" fillId="0" borderId="44" xfId="0" applyFont="1" applyFill="1" applyBorder="1" applyAlignment="1" applyProtection="1">
      <alignment horizontal="left" vertical="center" wrapText="1"/>
      <protection locked="0"/>
    </xf>
    <xf numFmtId="2" fontId="9" fillId="0" borderId="44" xfId="0" applyNumberFormat="1" applyFont="1" applyFill="1" applyBorder="1" applyAlignment="1" applyProtection="1">
      <alignment horizontal="center" vertical="center"/>
      <protection locked="0"/>
    </xf>
    <xf numFmtId="0" fontId="9" fillId="0" borderId="44" xfId="0" applyFont="1" applyFill="1" applyBorder="1" applyAlignment="1" applyProtection="1">
      <alignment vertical="center"/>
      <protection locked="0"/>
    </xf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>
      <alignment horizontal="center" vertical="center"/>
    </xf>
    <xf numFmtId="0" fontId="9" fillId="0" borderId="14" xfId="0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vertical="center"/>
      <protection locked="0"/>
    </xf>
    <xf numFmtId="0" fontId="11" fillId="0" borderId="16" xfId="0" applyFont="1" applyFill="1" applyBorder="1" applyAlignment="1" applyProtection="1">
      <alignment horizontal="left" vertical="center" wrapText="1"/>
      <protection locked="0"/>
    </xf>
    <xf numFmtId="0" fontId="9" fillId="0" borderId="17" xfId="0" applyFont="1" applyFill="1" applyBorder="1" applyAlignment="1">
      <alignment horizontal="center" vertical="center"/>
    </xf>
    <xf numFmtId="0" fontId="9" fillId="0" borderId="17" xfId="0" applyFont="1" applyFill="1" applyBorder="1" applyAlignment="1" applyProtection="1">
      <alignment horizontal="left" vertical="center" wrapText="1"/>
      <protection locked="0"/>
    </xf>
    <xf numFmtId="4" fontId="9" fillId="0" borderId="17" xfId="0" applyNumberFormat="1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 applyProtection="1">
      <alignment horizontal="left" vertical="center" wrapText="1"/>
      <protection locked="0"/>
    </xf>
    <xf numFmtId="3" fontId="9" fillId="0" borderId="19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left" vertical="center"/>
    </xf>
    <xf numFmtId="4" fontId="9" fillId="0" borderId="19" xfId="0" applyNumberFormat="1" applyFont="1" applyFill="1" applyBorder="1" applyAlignment="1" applyProtection="1">
      <alignment horizontal="center" vertical="center"/>
      <protection locked="0"/>
    </xf>
    <xf numFmtId="2" fontId="9" fillId="0" borderId="19" xfId="0" applyNumberFormat="1" applyFont="1" applyFill="1" applyBorder="1" applyAlignment="1" applyProtection="1">
      <alignment vertical="center"/>
      <protection locked="0"/>
    </xf>
    <xf numFmtId="168" fontId="11" fillId="0" borderId="4" xfId="0" applyNumberFormat="1" applyFont="1" applyFill="1" applyBorder="1" applyAlignment="1">
      <alignment horizontal="center" vertical="center"/>
    </xf>
    <xf numFmtId="168" fontId="11" fillId="0" borderId="5" xfId="0" applyNumberFormat="1" applyFont="1" applyFill="1" applyBorder="1" applyAlignment="1" applyProtection="1">
      <alignment horizontal="center" vertical="top" wrapText="1"/>
      <protection locked="0"/>
    </xf>
    <xf numFmtId="168" fontId="9" fillId="0" borderId="5" xfId="0" applyNumberFormat="1" applyFont="1" applyFill="1" applyBorder="1" applyAlignment="1">
      <alignment horizontal="center" vertical="center"/>
    </xf>
    <xf numFmtId="168" fontId="9" fillId="0" borderId="32" xfId="0" applyNumberFormat="1" applyFont="1" applyFill="1" applyBorder="1" applyAlignment="1">
      <alignment horizontal="center" vertical="center"/>
    </xf>
    <xf numFmtId="0" fontId="11" fillId="0" borderId="41" xfId="0" applyFont="1" applyFill="1" applyBorder="1" applyAlignment="1" applyProtection="1">
      <alignment horizontal="left" vertical="top" wrapText="1"/>
      <protection locked="0"/>
    </xf>
    <xf numFmtId="166" fontId="58" fillId="0" borderId="29" xfId="3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 applyProtection="1">
      <alignment vertical="center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top" wrapText="1"/>
      <protection locked="0"/>
    </xf>
    <xf numFmtId="4" fontId="5" fillId="0" borderId="3" xfId="0" applyNumberFormat="1" applyFont="1" applyFill="1" applyBorder="1" applyAlignment="1" applyProtection="1">
      <alignment vertical="center"/>
      <protection locked="0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 applyProtection="1">
      <alignment horizontal="left" vertical="top" wrapText="1"/>
      <protection locked="0"/>
    </xf>
    <xf numFmtId="0" fontId="4" fillId="0" borderId="19" xfId="0" applyFont="1" applyFill="1" applyBorder="1" applyAlignment="1" applyProtection="1">
      <alignment horizontal="left" vertical="top" wrapText="1"/>
      <protection locked="0"/>
    </xf>
    <xf numFmtId="0" fontId="5" fillId="0" borderId="19" xfId="0" applyFont="1" applyFill="1" applyBorder="1" applyAlignment="1" applyProtection="1">
      <alignment horizontal="center" vertical="top" wrapText="1"/>
      <protection locked="0"/>
    </xf>
    <xf numFmtId="4" fontId="5" fillId="0" borderId="50" xfId="0" applyNumberFormat="1" applyFont="1" applyFill="1" applyBorder="1" applyAlignment="1" applyProtection="1">
      <alignment vertical="center"/>
      <protection locked="0"/>
    </xf>
    <xf numFmtId="0" fontId="5" fillId="0" borderId="9" xfId="0" applyFont="1" applyFill="1" applyBorder="1" applyAlignment="1" applyProtection="1">
      <alignment vertical="center"/>
      <protection locked="0"/>
    </xf>
    <xf numFmtId="2" fontId="5" fillId="0" borderId="11" xfId="0" applyNumberFormat="1" applyFont="1" applyFill="1" applyBorder="1" applyAlignment="1" applyProtection="1">
      <alignment vertical="center"/>
      <protection locked="0"/>
    </xf>
    <xf numFmtId="2" fontId="5" fillId="0" borderId="26" xfId="0" applyNumberFormat="1" applyFont="1" applyFill="1" applyBorder="1" applyAlignment="1" applyProtection="1">
      <alignment vertical="center"/>
      <protection locked="0"/>
    </xf>
    <xf numFmtId="4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>
      <alignment horizontal="center" vertical="center"/>
    </xf>
    <xf numFmtId="0" fontId="5" fillId="0" borderId="10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5" fillId="0" borderId="10" xfId="0" applyFont="1" applyFill="1" applyBorder="1" applyAlignment="1" applyProtection="1">
      <alignment horizontal="center" vertical="top" wrapText="1"/>
      <protection locked="0"/>
    </xf>
    <xf numFmtId="4" fontId="5" fillId="0" borderId="12" xfId="0" applyNumberFormat="1" applyFont="1" applyFill="1" applyBorder="1" applyAlignment="1" applyProtection="1">
      <alignment vertical="center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center" vertical="top" wrapText="1"/>
      <protection locked="0"/>
    </xf>
    <xf numFmtId="4" fontId="5" fillId="0" borderId="0" xfId="0" applyNumberFormat="1" applyFont="1" applyFill="1" applyBorder="1" applyAlignment="1" applyProtection="1">
      <alignment vertical="center"/>
      <protection locked="0"/>
    </xf>
    <xf numFmtId="2" fontId="4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32" xfId="0" applyFont="1" applyFill="1" applyBorder="1" applyAlignment="1" applyProtection="1">
      <alignment vertical="center"/>
      <protection locked="0"/>
    </xf>
    <xf numFmtId="0" fontId="38" fillId="0" borderId="9" xfId="0" applyFont="1" applyFill="1" applyBorder="1" applyAlignment="1" applyProtection="1">
      <alignment horizontal="left" wrapText="1"/>
      <protection locked="0"/>
    </xf>
    <xf numFmtId="168" fontId="9" fillId="0" borderId="27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left" vertical="center" wrapText="1"/>
      <protection locked="0"/>
    </xf>
    <xf numFmtId="2" fontId="9" fillId="0" borderId="33" xfId="0" applyNumberFormat="1" applyFont="1" applyFill="1" applyBorder="1" applyAlignment="1" applyProtection="1">
      <alignment vertical="center"/>
      <protection locked="0"/>
    </xf>
    <xf numFmtId="167" fontId="11" fillId="0" borderId="14" xfId="0" applyNumberFormat="1" applyFont="1" applyFill="1" applyBorder="1" applyAlignment="1">
      <alignment horizontal="center" vertical="center"/>
    </xf>
    <xf numFmtId="0" fontId="9" fillId="0" borderId="4" xfId="0" applyFont="1" applyBorder="1" applyAlignment="1" applyProtection="1">
      <alignment horizontal="left" vertical="center" wrapText="1"/>
      <protection locked="0"/>
    </xf>
    <xf numFmtId="168" fontId="9" fillId="0" borderId="19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 applyProtection="1">
      <alignment vertical="center"/>
      <protection locked="0"/>
    </xf>
    <xf numFmtId="2" fontId="9" fillId="0" borderId="20" xfId="0" applyNumberFormat="1" applyFont="1" applyFill="1" applyBorder="1" applyAlignment="1" applyProtection="1">
      <alignment horizontal="center" vertical="center"/>
      <protection locked="0"/>
    </xf>
    <xf numFmtId="168" fontId="11" fillId="0" borderId="28" xfId="0" applyNumberFormat="1" applyFont="1" applyFill="1" applyBorder="1" applyAlignment="1">
      <alignment horizontal="center" vertical="center"/>
    </xf>
    <xf numFmtId="0" fontId="12" fillId="0" borderId="16" xfId="30" applyFont="1" applyFill="1" applyBorder="1" applyAlignment="1">
      <alignment horizontal="center" vertical="center" wrapText="1"/>
    </xf>
    <xf numFmtId="0" fontId="9" fillId="0" borderId="71" xfId="0" applyFont="1" applyFill="1" applyBorder="1" applyAlignment="1" applyProtection="1">
      <alignment horizontal="left" vertical="top" wrapText="1"/>
      <protection locked="0"/>
    </xf>
    <xf numFmtId="0" fontId="9" fillId="0" borderId="54" xfId="0" applyFont="1" applyFill="1" applyBorder="1" applyAlignment="1" applyProtection="1">
      <alignment horizontal="left" vertical="top" wrapText="1"/>
      <protection locked="0"/>
    </xf>
    <xf numFmtId="0" fontId="9" fillId="0" borderId="71" xfId="0" applyFont="1" applyFill="1" applyBorder="1" applyAlignment="1" applyProtection="1">
      <alignment horizontal="left" vertical="center" wrapText="1"/>
      <protection locked="0"/>
    </xf>
    <xf numFmtId="4" fontId="11" fillId="0" borderId="4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9" fillId="0" borderId="42" xfId="0" applyFont="1" applyFill="1" applyBorder="1" applyAlignment="1" applyProtection="1">
      <alignment horizontal="center" vertical="center" wrapText="1"/>
      <protection locked="0"/>
    </xf>
    <xf numFmtId="3" fontId="9" fillId="0" borderId="32" xfId="0" applyNumberFormat="1" applyFont="1" applyFill="1" applyBorder="1" applyAlignment="1">
      <alignment horizontal="center" vertical="center"/>
    </xf>
    <xf numFmtId="0" fontId="11" fillId="0" borderId="32" xfId="0" applyFont="1" applyBorder="1" applyAlignment="1" applyProtection="1">
      <alignment horizontal="left" vertical="center" wrapText="1"/>
      <protection locked="0"/>
    </xf>
    <xf numFmtId="0" fontId="11" fillId="0" borderId="5" xfId="0" applyFont="1" applyFill="1" applyBorder="1" applyAlignment="1" applyProtection="1">
      <alignment horizontal="left" vertical="top" wrapText="1"/>
      <protection locked="0"/>
    </xf>
    <xf numFmtId="0" fontId="9" fillId="0" borderId="6" xfId="0" applyFont="1" applyFill="1" applyBorder="1" applyAlignment="1" applyProtection="1">
      <alignment vertical="center" wrapText="1"/>
      <protection locked="0"/>
    </xf>
    <xf numFmtId="0" fontId="11" fillId="0" borderId="42" xfId="0" applyFont="1" applyFill="1" applyBorder="1" applyAlignment="1" applyProtection="1">
      <alignment horizontal="left" vertical="center" wrapText="1"/>
      <protection locked="0"/>
    </xf>
    <xf numFmtId="0" fontId="9" fillId="0" borderId="69" xfId="0" applyFont="1" applyFill="1" applyBorder="1" applyAlignment="1" applyProtection="1">
      <alignment horizontal="right" vertical="center" wrapText="1"/>
      <protection locked="0"/>
    </xf>
    <xf numFmtId="0" fontId="9" fillId="0" borderId="3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33" xfId="0" applyFont="1" applyFill="1" applyBorder="1" applyAlignment="1" applyProtection="1">
      <alignment vertical="center"/>
      <protection locked="0"/>
    </xf>
    <xf numFmtId="168" fontId="9" fillId="0" borderId="44" xfId="0" applyNumberFormat="1" applyFont="1" applyFill="1" applyBorder="1" applyAlignment="1">
      <alignment horizontal="center" vertical="center"/>
    </xf>
    <xf numFmtId="0" fontId="38" fillId="0" borderId="17" xfId="0" applyFont="1" applyFill="1" applyBorder="1" applyAlignment="1" applyProtection="1">
      <alignment horizontal="left" vertical="center" wrapText="1"/>
      <protection locked="0"/>
    </xf>
    <xf numFmtId="0" fontId="9" fillId="0" borderId="19" xfId="0" applyFont="1" applyBorder="1" applyAlignment="1" applyProtection="1">
      <alignment horizontal="left" vertical="center" wrapText="1"/>
      <protection locked="0"/>
    </xf>
    <xf numFmtId="0" fontId="25" fillId="0" borderId="34" xfId="7" applyFont="1" applyBorder="1" applyAlignment="1">
      <alignment horizontal="center" vertical="center" wrapText="1"/>
    </xf>
    <xf numFmtId="0" fontId="25" fillId="0" borderId="36" xfId="7" applyFont="1" applyBorder="1" applyAlignment="1">
      <alignment horizontal="center" vertical="center" wrapText="1"/>
    </xf>
    <xf numFmtId="0" fontId="5" fillId="7" borderId="32" xfId="7" applyFont="1" applyFill="1" applyBorder="1" applyAlignment="1">
      <alignment horizontal="left" vertical="center" wrapText="1"/>
    </xf>
    <xf numFmtId="0" fontId="5" fillId="7" borderId="33" xfId="7" applyFont="1" applyFill="1" applyBorder="1" applyAlignment="1">
      <alignment horizontal="left" vertical="center" wrapText="1"/>
    </xf>
    <xf numFmtId="0" fontId="31" fillId="0" borderId="0" xfId="7" applyFont="1" applyAlignment="1">
      <alignment horizontal="center" vertical="center"/>
    </xf>
    <xf numFmtId="2" fontId="31" fillId="0" borderId="0" xfId="33" applyNumberFormat="1" applyFont="1" applyBorder="1" applyAlignment="1" applyProtection="1">
      <alignment horizontal="center" vertical="center" wrapText="1"/>
      <protection locked="0"/>
    </xf>
    <xf numFmtId="0" fontId="25" fillId="0" borderId="71" xfId="7" applyFont="1" applyBorder="1" applyAlignment="1">
      <alignment horizontal="center" vertical="center" wrapText="1"/>
    </xf>
    <xf numFmtId="0" fontId="25" fillId="0" borderId="69" xfId="7" applyFont="1" applyBorder="1" applyAlignment="1">
      <alignment horizontal="center" vertical="center" wrapText="1"/>
    </xf>
    <xf numFmtId="0" fontId="25" fillId="0" borderId="4" xfId="7" applyFont="1" applyBorder="1" applyAlignment="1">
      <alignment horizontal="center" vertical="center" wrapText="1"/>
    </xf>
    <xf numFmtId="0" fontId="25" fillId="0" borderId="32" xfId="7" applyFont="1" applyBorder="1" applyAlignment="1">
      <alignment horizontal="center" vertical="center" wrapText="1"/>
    </xf>
    <xf numFmtId="0" fontId="25" fillId="0" borderId="39" xfId="7" applyFont="1" applyBorder="1" applyAlignment="1">
      <alignment horizontal="center" vertical="center" wrapText="1"/>
    </xf>
    <xf numFmtId="0" fontId="25" fillId="0" borderId="31" xfId="7" applyFont="1" applyBorder="1" applyAlignment="1">
      <alignment horizontal="center" vertical="center" wrapText="1"/>
    </xf>
    <xf numFmtId="0" fontId="62" fillId="0" borderId="0" xfId="3" quotePrefix="1" applyFont="1" applyBorder="1" applyAlignment="1">
      <alignment horizontal="left" vertical="center" wrapText="1"/>
    </xf>
    <xf numFmtId="0" fontId="25" fillId="0" borderId="53" xfId="7" applyFont="1" applyBorder="1" applyAlignment="1">
      <alignment horizontal="center" vertical="center" wrapText="1"/>
    </xf>
    <xf numFmtId="0" fontId="25" fillId="0" borderId="70" xfId="7" applyFont="1" applyBorder="1" applyAlignment="1">
      <alignment horizontal="center" vertical="center" wrapText="1"/>
    </xf>
    <xf numFmtId="0" fontId="59" fillId="0" borderId="67" xfId="7" applyFont="1" applyBorder="1" applyAlignment="1">
      <alignment horizontal="center" vertical="center"/>
    </xf>
    <xf numFmtId="0" fontId="59" fillId="0" borderId="38" xfId="7" applyFont="1" applyBorder="1" applyAlignment="1">
      <alignment horizontal="center" vertical="center"/>
    </xf>
    <xf numFmtId="0" fontId="12" fillId="0" borderId="13" xfId="30" applyFont="1" applyFill="1" applyBorder="1" applyAlignment="1">
      <alignment horizontal="center" vertical="center" wrapText="1"/>
    </xf>
    <xf numFmtId="0" fontId="12" fillId="0" borderId="16" xfId="30" applyFont="1" applyFill="1" applyBorder="1" applyAlignment="1">
      <alignment horizontal="center" vertical="center" wrapText="1"/>
    </xf>
    <xf numFmtId="0" fontId="12" fillId="0" borderId="18" xfId="3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/>
    </xf>
    <xf numFmtId="0" fontId="9" fillId="0" borderId="72" xfId="0" applyFont="1" applyFill="1" applyBorder="1" applyAlignment="1">
      <alignment horizontal="center" vertical="center"/>
    </xf>
    <xf numFmtId="0" fontId="9" fillId="0" borderId="70" xfId="0" applyFont="1" applyFill="1" applyBorder="1" applyAlignment="1">
      <alignment horizontal="center" vertical="center"/>
    </xf>
    <xf numFmtId="0" fontId="9" fillId="0" borderId="71" xfId="0" applyFont="1" applyFill="1" applyBorder="1" applyAlignment="1" applyProtection="1">
      <alignment horizontal="left" vertical="top" wrapText="1"/>
      <protection locked="0"/>
    </xf>
    <xf numFmtId="0" fontId="9" fillId="0" borderId="54" xfId="0" applyFont="1" applyFill="1" applyBorder="1" applyAlignment="1" applyProtection="1">
      <alignment horizontal="left" vertical="top" wrapText="1"/>
      <protection locked="0"/>
    </xf>
    <xf numFmtId="0" fontId="10" fillId="0" borderId="9" xfId="0" applyFont="1" applyFill="1" applyBorder="1" applyAlignment="1" applyProtection="1">
      <alignment horizontal="left" wrapText="1"/>
      <protection locked="0"/>
    </xf>
    <xf numFmtId="0" fontId="10" fillId="0" borderId="26" xfId="0" applyFont="1" applyFill="1" applyBorder="1" applyAlignment="1" applyProtection="1">
      <alignment horizontal="left" wrapText="1"/>
      <protection locked="0"/>
    </xf>
    <xf numFmtId="0" fontId="10" fillId="0" borderId="25" xfId="0" applyFont="1" applyFill="1" applyBorder="1" applyAlignment="1" applyProtection="1">
      <alignment horizontal="left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Fill="1" applyBorder="1" applyAlignment="1" applyProtection="1">
      <alignment horizontal="left" vertical="center" wrapText="1"/>
      <protection locked="0"/>
    </xf>
    <xf numFmtId="0" fontId="11" fillId="0" borderId="26" xfId="0" applyFont="1" applyFill="1" applyBorder="1" applyAlignment="1" applyProtection="1">
      <alignment horizontal="left" vertical="center" wrapText="1"/>
      <protection locked="0"/>
    </xf>
    <xf numFmtId="0" fontId="11" fillId="0" borderId="25" xfId="0" applyFont="1" applyFill="1" applyBorder="1" applyAlignment="1" applyProtection="1">
      <alignment horizontal="left" vertical="center" wrapText="1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0" fontId="11" fillId="0" borderId="25" xfId="0" applyFont="1" applyFill="1" applyBorder="1" applyAlignment="1" applyProtection="1">
      <alignment horizontal="center" vertical="center" wrapText="1"/>
      <protection locked="0"/>
    </xf>
    <xf numFmtId="0" fontId="63" fillId="0" borderId="17" xfId="0" applyFont="1" applyFill="1" applyBorder="1" applyAlignment="1" applyProtection="1">
      <alignment horizontal="center" vertical="center" wrapText="1"/>
      <protection locked="0"/>
    </xf>
    <xf numFmtId="0" fontId="63" fillId="0" borderId="17" xfId="0" applyFont="1" applyFill="1" applyBorder="1" applyAlignment="1" applyProtection="1">
      <alignment horizontal="center" vertical="center"/>
      <protection locked="0"/>
    </xf>
    <xf numFmtId="0" fontId="11" fillId="0" borderId="18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1" fillId="0" borderId="36" xfId="0" applyFont="1" applyFill="1" applyBorder="1" applyAlignment="1">
      <alignment horizontal="center"/>
    </xf>
    <xf numFmtId="0" fontId="56" fillId="0" borderId="17" xfId="0" applyFont="1" applyFill="1" applyBorder="1" applyAlignment="1">
      <alignment horizontal="center" vertical="center" wrapText="1"/>
    </xf>
    <xf numFmtId="0" fontId="9" fillId="0" borderId="9" xfId="36" applyFont="1" applyFill="1" applyBorder="1" applyAlignment="1">
      <alignment horizontal="center" vertical="center" wrapText="1"/>
    </xf>
    <xf numFmtId="0" fontId="9" fillId="0" borderId="26" xfId="36" applyFont="1" applyFill="1" applyBorder="1" applyAlignment="1">
      <alignment horizontal="center" vertical="center" wrapText="1"/>
    </xf>
    <xf numFmtId="0" fontId="9" fillId="0" borderId="25" xfId="36" applyFont="1" applyFill="1" applyBorder="1" applyAlignment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9" fillId="0" borderId="44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42" fillId="0" borderId="17" xfId="0" applyFont="1" applyFill="1" applyBorder="1" applyAlignment="1">
      <alignment horizontal="center" wrapText="1"/>
    </xf>
    <xf numFmtId="0" fontId="42" fillId="0" borderId="47" xfId="36" applyFont="1" applyFill="1" applyBorder="1" applyAlignment="1" applyProtection="1">
      <alignment horizontal="left" vertical="center" wrapText="1"/>
      <protection locked="0"/>
    </xf>
    <xf numFmtId="0" fontId="42" fillId="0" borderId="48" xfId="36" applyFont="1" applyFill="1" applyBorder="1" applyAlignment="1" applyProtection="1">
      <alignment horizontal="left" vertical="center" wrapText="1"/>
      <protection locked="0"/>
    </xf>
    <xf numFmtId="0" fontId="42" fillId="0" borderId="43" xfId="36" applyFont="1" applyFill="1" applyBorder="1" applyAlignment="1" applyProtection="1">
      <alignment horizontal="left" vertical="center" wrapText="1"/>
      <protection locked="0"/>
    </xf>
    <xf numFmtId="0" fontId="42" fillId="0" borderId="1" xfId="36" applyFont="1" applyFill="1" applyBorder="1" applyAlignment="1">
      <alignment horizontal="left" vertical="center" wrapText="1"/>
    </xf>
    <xf numFmtId="0" fontId="42" fillId="0" borderId="37" xfId="36" applyFont="1" applyFill="1" applyBorder="1" applyAlignment="1">
      <alignment horizontal="left" vertical="center" wrapText="1"/>
    </xf>
    <xf numFmtId="0" fontId="42" fillId="0" borderId="2" xfId="36" applyFont="1" applyFill="1" applyBorder="1" applyAlignment="1">
      <alignment horizontal="left" vertical="center" wrapText="1"/>
    </xf>
    <xf numFmtId="0" fontId="42" fillId="0" borderId="1" xfId="36" applyFont="1" applyFill="1" applyBorder="1" applyAlignment="1" applyProtection="1">
      <alignment horizontal="left" vertical="center" wrapText="1"/>
      <protection locked="0"/>
    </xf>
    <xf numFmtId="0" fontId="42" fillId="0" borderId="37" xfId="36" applyFont="1" applyFill="1" applyBorder="1" applyAlignment="1" applyProtection="1">
      <alignment horizontal="left" vertical="center" wrapText="1"/>
      <protection locked="0"/>
    </xf>
    <xf numFmtId="0" fontId="42" fillId="0" borderId="2" xfId="36" applyFont="1" applyFill="1" applyBorder="1" applyAlignment="1" applyProtection="1">
      <alignment horizontal="left" vertical="center" wrapText="1"/>
      <protection locked="0"/>
    </xf>
    <xf numFmtId="0" fontId="42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 applyProtection="1">
      <alignment horizontal="left" vertical="center" wrapText="1"/>
      <protection locked="0"/>
    </xf>
    <xf numFmtId="0" fontId="9" fillId="0" borderId="22" xfId="0" applyFont="1" applyFill="1" applyBorder="1" applyAlignment="1">
      <alignment vertical="top" wrapText="1"/>
    </xf>
    <xf numFmtId="0" fontId="11" fillId="0" borderId="9" xfId="1" applyFont="1" applyFill="1" applyBorder="1" applyAlignment="1">
      <alignment horizontal="center" vertical="center"/>
    </xf>
    <xf numFmtId="0" fontId="11" fillId="0" borderId="26" xfId="1" applyFont="1" applyFill="1" applyBorder="1" applyAlignment="1">
      <alignment horizontal="center" vertical="center"/>
    </xf>
    <xf numFmtId="0" fontId="11" fillId="0" borderId="25" xfId="1" applyFont="1" applyFill="1" applyBorder="1" applyAlignment="1">
      <alignment horizontal="center" vertical="center"/>
    </xf>
    <xf numFmtId="0" fontId="11" fillId="0" borderId="11" xfId="36" applyFont="1" applyFill="1" applyBorder="1" applyAlignment="1">
      <alignment horizontal="left" vertical="center"/>
    </xf>
    <xf numFmtId="0" fontId="11" fillId="0" borderId="26" xfId="36" applyFont="1" applyFill="1" applyBorder="1" applyAlignment="1">
      <alignment horizontal="left" vertical="center"/>
    </xf>
    <xf numFmtId="0" fontId="11" fillId="0" borderId="27" xfId="36" applyFont="1" applyFill="1" applyBorder="1" applyAlignment="1">
      <alignment horizontal="left" vertical="center"/>
    </xf>
    <xf numFmtId="0" fontId="57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26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2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left" vertical="top" wrapText="1"/>
      <protection locked="0"/>
    </xf>
    <xf numFmtId="0" fontId="10" fillId="0" borderId="26" xfId="0" applyFont="1" applyFill="1" applyBorder="1" applyAlignment="1" applyProtection="1">
      <alignment horizontal="left" vertical="top" wrapText="1"/>
      <protection locked="0"/>
    </xf>
    <xf numFmtId="0" fontId="10" fillId="0" borderId="25" xfId="0" applyFont="1" applyFill="1" applyBorder="1" applyAlignment="1" applyProtection="1">
      <alignment horizontal="left" vertical="top" wrapText="1"/>
      <protection locked="0"/>
    </xf>
    <xf numFmtId="0" fontId="20" fillId="0" borderId="23" xfId="29" applyFont="1" applyFill="1" applyBorder="1" applyAlignment="1">
      <alignment horizontal="center" vertical="center" wrapText="1"/>
    </xf>
    <xf numFmtId="0" fontId="20" fillId="0" borderId="17" xfId="29" applyFont="1" applyFill="1" applyBorder="1" applyAlignment="1">
      <alignment horizontal="center" vertical="center" wrapText="1"/>
    </xf>
    <xf numFmtId="0" fontId="20" fillId="0" borderId="3" xfId="29" applyFont="1" applyFill="1" applyBorder="1" applyAlignment="1">
      <alignment horizontal="center" vertical="center" wrapText="1"/>
    </xf>
    <xf numFmtId="0" fontId="5" fillId="0" borderId="0" xfId="36" applyFont="1" applyBorder="1" applyAlignment="1" applyProtection="1">
      <alignment horizontal="center" vertical="center"/>
      <protection locked="0"/>
    </xf>
    <xf numFmtId="2" fontId="8" fillId="0" borderId="0" xfId="29" applyNumberFormat="1" applyFont="1" applyFill="1" applyAlignment="1">
      <alignment horizontal="center" vertical="center" wrapText="1"/>
    </xf>
    <xf numFmtId="0" fontId="8" fillId="0" borderId="0" xfId="29" applyFont="1" applyFill="1" applyAlignment="1">
      <alignment horizontal="center" vertical="center" wrapText="1"/>
    </xf>
    <xf numFmtId="0" fontId="21" fillId="0" borderId="0" xfId="29" applyFont="1" applyFill="1" applyBorder="1" applyAlignment="1">
      <alignment horizontal="center" vertical="center" wrapText="1"/>
    </xf>
    <xf numFmtId="0" fontId="20" fillId="0" borderId="52" xfId="29" applyFont="1" applyFill="1" applyBorder="1" applyAlignment="1">
      <alignment horizontal="center" vertical="center" wrapText="1"/>
    </xf>
    <xf numFmtId="0" fontId="20" fillId="0" borderId="28" xfId="29" applyFont="1" applyFill="1" applyBorder="1" applyAlignment="1">
      <alignment horizontal="center" vertical="center" wrapText="1"/>
    </xf>
    <xf numFmtId="0" fontId="20" fillId="0" borderId="51" xfId="29" applyFont="1" applyFill="1" applyBorder="1" applyAlignment="1">
      <alignment horizontal="center" vertical="center" wrapText="1"/>
    </xf>
    <xf numFmtId="0" fontId="20" fillId="0" borderId="0" xfId="29" applyFont="1" applyFill="1" applyAlignment="1">
      <alignment horizontal="center" vertical="center"/>
    </xf>
    <xf numFmtId="0" fontId="28" fillId="0" borderId="1" xfId="0" applyFont="1" applyBorder="1" applyAlignment="1">
      <alignment horizontal="left" vertical="center"/>
    </xf>
    <xf numFmtId="0" fontId="28" fillId="0" borderId="37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2" fontId="28" fillId="0" borderId="0" xfId="0" applyNumberFormat="1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9" fillId="0" borderId="1" xfId="36" applyFont="1" applyFill="1" applyBorder="1" applyAlignment="1" applyProtection="1">
      <alignment horizontal="center" vertical="center" wrapText="1"/>
      <protection locked="0"/>
    </xf>
    <xf numFmtId="0" fontId="9" fillId="0" borderId="37" xfId="36" applyFont="1" applyFill="1" applyBorder="1" applyAlignment="1" applyProtection="1">
      <alignment horizontal="center" vertical="center" wrapText="1"/>
      <protection locked="0"/>
    </xf>
    <xf numFmtId="0" fontId="9" fillId="0" borderId="2" xfId="36" applyFont="1" applyFill="1" applyBorder="1" applyAlignment="1" applyProtection="1">
      <alignment horizontal="center" vertical="center" wrapText="1"/>
      <protection locked="0"/>
    </xf>
    <xf numFmtId="0" fontId="9" fillId="0" borderId="4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44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173" fontId="9" fillId="0" borderId="44" xfId="0" applyNumberFormat="1" applyFont="1" applyFill="1" applyBorder="1" applyAlignment="1">
      <alignment horizontal="center" vertical="center" wrapText="1"/>
    </xf>
    <xf numFmtId="173" fontId="9" fillId="0" borderId="28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37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37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37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82" fillId="0" borderId="4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9" fillId="0" borderId="1" xfId="36" applyFont="1" applyFill="1" applyBorder="1" applyAlignment="1" applyProtection="1">
      <alignment horizontal="center" vertical="top" wrapText="1"/>
      <protection locked="0"/>
    </xf>
    <xf numFmtId="0" fontId="9" fillId="0" borderId="37" xfId="36" applyFont="1" applyFill="1" applyBorder="1" applyAlignment="1" applyProtection="1">
      <alignment horizontal="center" vertical="top" wrapText="1"/>
      <protection locked="0"/>
    </xf>
    <xf numFmtId="0" fontId="9" fillId="0" borderId="2" xfId="36" applyFont="1" applyFill="1" applyBorder="1" applyAlignment="1" applyProtection="1">
      <alignment horizontal="center" vertical="top" wrapText="1"/>
      <protection locked="0"/>
    </xf>
    <xf numFmtId="0" fontId="9" fillId="0" borderId="0" xfId="36" applyFont="1" applyFill="1" applyBorder="1" applyAlignment="1" applyProtection="1">
      <alignment horizontal="left" vertical="center"/>
      <protection locked="0"/>
    </xf>
    <xf numFmtId="0" fontId="5" fillId="0" borderId="0" xfId="36" applyFont="1" applyFill="1" applyBorder="1" applyAlignment="1" applyProtection="1">
      <alignment horizontal="center" vertical="center"/>
      <protection locked="0"/>
    </xf>
    <xf numFmtId="2" fontId="5" fillId="0" borderId="0" xfId="36" applyNumberFormat="1" applyFont="1" applyFill="1" applyBorder="1" applyAlignment="1" applyProtection="1">
      <alignment horizontal="center" vertical="center" wrapText="1"/>
      <protection locked="0"/>
    </xf>
    <xf numFmtId="2" fontId="11" fillId="0" borderId="0" xfId="36" applyNumberFormat="1" applyFont="1" applyFill="1" applyBorder="1" applyAlignment="1" applyProtection="1">
      <alignment horizontal="center" vertical="center" wrapText="1"/>
      <protection locked="0"/>
    </xf>
    <xf numFmtId="0" fontId="11" fillId="0" borderId="11" xfId="36" quotePrefix="1" applyFont="1" applyFill="1" applyBorder="1" applyAlignment="1" applyProtection="1">
      <alignment horizontal="center" vertical="center" wrapText="1"/>
      <protection hidden="1"/>
    </xf>
    <xf numFmtId="0" fontId="11" fillId="0" borderId="27" xfId="36" quotePrefix="1" applyFont="1" applyFill="1" applyBorder="1" applyAlignment="1" applyProtection="1">
      <alignment horizontal="center" vertical="center" wrapText="1"/>
      <protection hidden="1"/>
    </xf>
    <xf numFmtId="0" fontId="9" fillId="0" borderId="56" xfId="36" applyFont="1" applyFill="1" applyBorder="1" applyAlignment="1">
      <alignment horizontal="center" vertical="center" wrapText="1"/>
    </xf>
    <xf numFmtId="0" fontId="9" fillId="0" borderId="52" xfId="36" applyFont="1" applyFill="1" applyBorder="1" applyAlignment="1">
      <alignment horizontal="center" vertical="center" wrapText="1"/>
    </xf>
    <xf numFmtId="0" fontId="9" fillId="0" borderId="44" xfId="36" applyFont="1" applyFill="1" applyBorder="1" applyAlignment="1">
      <alignment horizontal="left" vertical="center" wrapText="1"/>
    </xf>
    <xf numFmtId="0" fontId="9" fillId="0" borderId="28" xfId="36" applyFont="1" applyFill="1" applyBorder="1" applyAlignment="1">
      <alignment horizontal="left" vertical="center" wrapText="1"/>
    </xf>
    <xf numFmtId="0" fontId="9" fillId="0" borderId="44" xfId="36" applyFont="1" applyFill="1" applyBorder="1" applyAlignment="1">
      <alignment horizontal="center" vertical="center" wrapText="1"/>
    </xf>
    <xf numFmtId="0" fontId="9" fillId="0" borderId="28" xfId="36" applyFont="1" applyFill="1" applyBorder="1" applyAlignment="1">
      <alignment horizontal="center" vertical="center" wrapText="1"/>
    </xf>
    <xf numFmtId="3" fontId="9" fillId="0" borderId="44" xfId="36" applyNumberFormat="1" applyFont="1" applyFill="1" applyBorder="1" applyAlignment="1">
      <alignment horizontal="center" vertical="center" wrapText="1"/>
    </xf>
    <xf numFmtId="3" fontId="9" fillId="0" borderId="28" xfId="36" applyNumberFormat="1" applyFont="1" applyFill="1" applyBorder="1" applyAlignment="1">
      <alignment horizontal="center" vertical="center" wrapText="1"/>
    </xf>
    <xf numFmtId="2" fontId="11" fillId="0" borderId="11" xfId="36" applyNumberFormat="1" applyFont="1" applyFill="1" applyBorder="1" applyAlignment="1" applyProtection="1">
      <alignment horizontal="left" vertical="center" wrapText="1"/>
      <protection locked="0"/>
    </xf>
    <xf numFmtId="2" fontId="11" fillId="0" borderId="26" xfId="36" applyNumberFormat="1" applyFont="1" applyFill="1" applyBorder="1" applyAlignment="1" applyProtection="1">
      <alignment horizontal="left" vertical="center" wrapText="1"/>
      <protection locked="0"/>
    </xf>
    <xf numFmtId="2" fontId="11" fillId="0" borderId="27" xfId="36" applyNumberFormat="1" applyFont="1" applyFill="1" applyBorder="1" applyAlignment="1" applyProtection="1">
      <alignment horizontal="left" vertical="center" wrapText="1"/>
      <protection locked="0"/>
    </xf>
    <xf numFmtId="0" fontId="11" fillId="0" borderId="11" xfId="36" applyFont="1" applyFill="1" applyBorder="1" applyAlignment="1">
      <alignment horizontal="left" vertical="center" wrapText="1"/>
    </xf>
    <xf numFmtId="0" fontId="11" fillId="0" borderId="26" xfId="36" applyFont="1" applyFill="1" applyBorder="1" applyAlignment="1">
      <alignment horizontal="left" vertical="center" wrapText="1"/>
    </xf>
    <xf numFmtId="0" fontId="11" fillId="0" borderId="27" xfId="36" applyFont="1" applyFill="1" applyBorder="1" applyAlignment="1">
      <alignment horizontal="left" vertical="center" wrapText="1"/>
    </xf>
    <xf numFmtId="0" fontId="9" fillId="0" borderId="0" xfId="36" applyFont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left" vertical="center" wrapText="1"/>
      <protection locked="0"/>
    </xf>
    <xf numFmtId="0" fontId="9" fillId="0" borderId="44" xfId="36" applyFont="1" applyBorder="1" applyAlignment="1" applyProtection="1">
      <alignment horizontal="left" vertical="center" wrapText="1"/>
      <protection locked="0"/>
    </xf>
    <xf numFmtId="0" fontId="11" fillId="0" borderId="10" xfId="36" applyFont="1" applyBorder="1" applyAlignment="1" applyProtection="1">
      <alignment horizontal="left" vertical="center" wrapText="1"/>
      <protection locked="0"/>
    </xf>
    <xf numFmtId="0" fontId="9" fillId="0" borderId="0" xfId="36" applyFont="1" applyBorder="1" applyAlignment="1" applyProtection="1">
      <alignment horizontal="center" vertical="center" wrapText="1"/>
      <protection locked="0"/>
    </xf>
    <xf numFmtId="0" fontId="9" fillId="0" borderId="0" xfId="36" applyFont="1" applyBorder="1" applyAlignment="1" applyProtection="1">
      <alignment horizontal="left" vertical="center"/>
      <protection locked="0"/>
    </xf>
    <xf numFmtId="2" fontId="5" fillId="0" borderId="0" xfId="36" applyNumberFormat="1" applyFont="1" applyBorder="1" applyAlignment="1" applyProtection="1">
      <alignment horizontal="center" vertical="center" wrapText="1"/>
      <protection locked="0"/>
    </xf>
    <xf numFmtId="2" fontId="4" fillId="0" borderId="0" xfId="36" applyNumberFormat="1" applyFont="1" applyBorder="1" applyAlignment="1" applyProtection="1">
      <alignment horizontal="center" vertical="center" wrapText="1"/>
      <protection locked="0"/>
    </xf>
    <xf numFmtId="0" fontId="11" fillId="0" borderId="0" xfId="36" applyFont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4" fontId="4" fillId="0" borderId="74" xfId="0" applyNumberFormat="1" applyFont="1" applyFill="1" applyBorder="1" applyAlignment="1" applyProtection="1">
      <alignment horizontal="center" vertical="center"/>
      <protection locked="0"/>
    </xf>
    <xf numFmtId="4" fontId="4" fillId="0" borderId="51" xfId="0" applyNumberFormat="1" applyFont="1" applyFill="1" applyBorder="1" applyAlignment="1" applyProtection="1">
      <alignment horizontal="center" vertical="center"/>
      <protection locked="0"/>
    </xf>
    <xf numFmtId="0" fontId="4" fillId="0" borderId="53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/>
    </xf>
    <xf numFmtId="0" fontId="4" fillId="0" borderId="13" xfId="0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8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 applyProtection="1">
      <alignment horizontal="left" vertical="center" wrapText="1"/>
      <protection locked="0"/>
    </xf>
    <xf numFmtId="2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1" fillId="0" borderId="11" xfId="0" applyFont="1" applyFill="1" applyBorder="1" applyAlignment="1" applyProtection="1">
      <alignment horizontal="left" vertical="center" wrapText="1"/>
      <protection locked="0"/>
    </xf>
    <xf numFmtId="2" fontId="11" fillId="0" borderId="0" xfId="0" applyNumberFormat="1" applyFont="1" applyBorder="1" applyAlignment="1" applyProtection="1">
      <alignment horizontal="center" vertical="center" wrapText="1"/>
      <protection locked="0"/>
    </xf>
    <xf numFmtId="2" fontId="5" fillId="0" borderId="0" xfId="0" applyNumberFormat="1" applyFont="1" applyBorder="1" applyAlignment="1" applyProtection="1">
      <alignment horizontal="center" vertical="center" wrapText="1"/>
      <protection locked="0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0" fontId="11" fillId="0" borderId="27" xfId="0" applyFont="1" applyFill="1" applyBorder="1" applyAlignment="1" applyProtection="1">
      <alignment horizontal="left" vertical="center" wrapText="1"/>
      <protection locked="0"/>
    </xf>
    <xf numFmtId="2" fontId="1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79" fillId="0" borderId="9" xfId="0" applyFont="1" applyBorder="1" applyAlignment="1">
      <alignment horizontal="center" vertical="center" wrapText="1"/>
    </xf>
    <xf numFmtId="0" fontId="79" fillId="0" borderId="26" xfId="0" applyFont="1" applyBorder="1" applyAlignment="1">
      <alignment horizontal="center" vertical="center" wrapText="1"/>
    </xf>
    <xf numFmtId="0" fontId="79" fillId="0" borderId="25" xfId="0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2" fontId="62" fillId="0" borderId="0" xfId="39" applyNumberFormat="1" applyFont="1" applyAlignment="1">
      <alignment horizontal="center" vertical="center" wrapText="1"/>
    </xf>
    <xf numFmtId="0" fontId="58" fillId="0" borderId="22" xfId="39" applyFont="1" applyBorder="1" applyAlignment="1">
      <alignment horizontal="center" vertical="center" wrapText="1"/>
    </xf>
    <xf numFmtId="0" fontId="5" fillId="0" borderId="45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</cellXfs>
  <cellStyles count="60">
    <cellStyle name=" 1" xfId="1"/>
    <cellStyle name=" 1 2" xfId="2"/>
    <cellStyle name="S13" xfId="3"/>
    <cellStyle name="S13 2" xfId="40"/>
    <cellStyle name="S14" xfId="4"/>
    <cellStyle name="Гиперссылка" xfId="5" builtinId="8"/>
    <cellStyle name="Гиперссылка 2" xfId="6"/>
    <cellStyle name="Обычный" xfId="0" builtinId="0"/>
    <cellStyle name="Обычный 2" xfId="7"/>
    <cellStyle name="Обычный 2 2" xfId="8"/>
    <cellStyle name="Обычный 2 2 2" xfId="9"/>
    <cellStyle name="Обычный 2 3" xfId="41"/>
    <cellStyle name="Обычный 3" xfId="10"/>
    <cellStyle name="Обычный 4" xfId="11"/>
    <cellStyle name="Обычный 4 2" xfId="12"/>
    <cellStyle name="Обычный 5" xfId="13"/>
    <cellStyle name="Обычный 5 2" xfId="14"/>
    <cellStyle name="Обычный 5 2 2" xfId="15"/>
    <cellStyle name="Обычный 5 2 2 2" xfId="42"/>
    <cellStyle name="Обычный 5 2 3" xfId="43"/>
    <cellStyle name="Обычный 5 3" xfId="16"/>
    <cellStyle name="Обычный 5 3 2" xfId="17"/>
    <cellStyle name="Обычный 5 3 2 2" xfId="44"/>
    <cellStyle name="Обычный 5 3 3" xfId="45"/>
    <cellStyle name="Обычный 5 4" xfId="18"/>
    <cellStyle name="Обычный 5 4 2" xfId="19"/>
    <cellStyle name="Обычный 5 4 2 2" xfId="46"/>
    <cellStyle name="Обычный 5 4 3" xfId="47"/>
    <cellStyle name="Обычный 5 5" xfId="20"/>
    <cellStyle name="Обычный 5 5 2" xfId="21"/>
    <cellStyle name="Обычный 5 5 2 2" xfId="48"/>
    <cellStyle name="Обычный 5 5 3" xfId="49"/>
    <cellStyle name="Обычный 5 6" xfId="22"/>
    <cellStyle name="Обычный 5 6 2" xfId="50"/>
    <cellStyle name="Обычный 5 7" xfId="51"/>
    <cellStyle name="Обычный 6" xfId="23"/>
    <cellStyle name="Обычный 6 2" xfId="24"/>
    <cellStyle name="Обычный 6 2 2" xfId="25"/>
    <cellStyle name="Обычный 6 2 2 2" xfId="52"/>
    <cellStyle name="Обычный 6 2 3" xfId="53"/>
    <cellStyle name="Обычный 6 3" xfId="26"/>
    <cellStyle name="Обычный 6 3 2" xfId="27"/>
    <cellStyle name="Обычный 6 3 2 2" xfId="54"/>
    <cellStyle name="Обычный 6 3 3" xfId="55"/>
    <cellStyle name="Обычный 6 4" xfId="28"/>
    <cellStyle name="Обычный 6 4 2" xfId="56"/>
    <cellStyle name="Обычный 6 5" xfId="57"/>
    <cellStyle name="Обычный 7" xfId="39"/>
    <cellStyle name="Обычный 8" xfId="58"/>
    <cellStyle name="Обычный_SMETA_1" xfId="29"/>
    <cellStyle name="Обычный_SMETA_1 2" xfId="30"/>
    <cellStyle name="Обычный_дендрология 2009 и 2010 г." xfId="31"/>
    <cellStyle name="Обычный_Обследования НИИОСП 2" xfId="32"/>
    <cellStyle name="Обычный_ФИЛИАЛ №4 ТВВ Лагутенкова" xfId="33"/>
    <cellStyle name="Процентный 2" xfId="34"/>
    <cellStyle name="Процентный 2 2" xfId="35"/>
    <cellStyle name="Стиль 1" xfId="36"/>
    <cellStyle name="Финансовый" xfId="37" builtinId="3"/>
    <cellStyle name="Финансовый 2" xfId="38"/>
    <cellStyle name="Финансовый 2 3" xfId="5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14</xdr:row>
      <xdr:rowOff>276489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1202267" cy="44230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323850</xdr:colOff>
      <xdr:row>1</xdr:row>
      <xdr:rowOff>219075</xdr:rowOff>
    </xdr:from>
    <xdr:to>
      <xdr:col>16</xdr:col>
      <xdr:colOff>304800</xdr:colOff>
      <xdr:row>20</xdr:row>
      <xdr:rowOff>175683</xdr:rowOff>
    </xdr:to>
    <xdr:pic>
      <xdr:nvPicPr>
        <xdr:cNvPr id="22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20625" y="400050"/>
          <a:ext cx="188595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247650</xdr:colOff>
      <xdr:row>7</xdr:row>
      <xdr:rowOff>47625</xdr:rowOff>
    </xdr:from>
    <xdr:to>
      <xdr:col>26</xdr:col>
      <xdr:colOff>361951</xdr:colOff>
      <xdr:row>13</xdr:row>
      <xdr:rowOff>507967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9875" y="428625"/>
          <a:ext cx="7429500" cy="2959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BreakPreview" topLeftCell="A31" zoomScale="70" zoomScaleNormal="100" zoomScaleSheetLayoutView="70" workbookViewId="0">
      <selection activeCell="B36" sqref="B36:G48"/>
    </sheetView>
  </sheetViews>
  <sheetFormatPr defaultColWidth="9.140625" defaultRowHeight="15.75" x14ac:dyDescent="0.2"/>
  <cols>
    <col min="1" max="1" width="4.7109375" style="320" customWidth="1"/>
    <col min="2" max="2" width="44.85546875" style="320" customWidth="1"/>
    <col min="3" max="3" width="14.5703125" style="322" customWidth="1"/>
    <col min="4" max="4" width="16.28515625" style="320" customWidth="1"/>
    <col min="5" max="5" width="38.7109375" style="321" customWidth="1"/>
    <col min="6" max="6" width="12.28515625" style="320" customWidth="1"/>
    <col min="7" max="7" width="17.42578125" style="320" customWidth="1"/>
    <col min="8" max="16384" width="9.140625" style="320"/>
  </cols>
  <sheetData>
    <row r="1" spans="1:7" ht="18" customHeight="1" x14ac:dyDescent="0.2">
      <c r="A1" s="332"/>
      <c r="B1" s="332"/>
      <c r="C1" s="336"/>
      <c r="D1" s="332"/>
      <c r="E1" s="333"/>
      <c r="F1" s="336" t="s">
        <v>67</v>
      </c>
      <c r="G1" s="332"/>
    </row>
    <row r="2" spans="1:7" ht="18" customHeight="1" x14ac:dyDescent="0.2">
      <c r="A2" s="332"/>
      <c r="B2" s="332"/>
      <c r="C2" s="335"/>
      <c r="D2" s="332"/>
      <c r="E2" s="333"/>
      <c r="F2" s="335" t="s">
        <v>246</v>
      </c>
      <c r="G2" s="332"/>
    </row>
    <row r="3" spans="1:7" ht="18" customHeight="1" x14ac:dyDescent="0.2">
      <c r="A3" s="332"/>
      <c r="B3" s="335"/>
      <c r="C3" s="335"/>
      <c r="D3" s="332"/>
      <c r="E3" s="333"/>
      <c r="F3" s="335" t="s">
        <v>245</v>
      </c>
      <c r="G3" s="332"/>
    </row>
    <row r="4" spans="1:7" ht="16.5" x14ac:dyDescent="0.2">
      <c r="A4" s="332"/>
      <c r="B4" s="335"/>
      <c r="C4" s="332"/>
      <c r="D4" s="334"/>
      <c r="E4" s="333"/>
      <c r="F4" s="332"/>
      <c r="G4" s="332"/>
    </row>
    <row r="5" spans="1:7" ht="16.5" x14ac:dyDescent="0.2">
      <c r="A5" s="956" t="s">
        <v>244</v>
      </c>
      <c r="B5" s="956"/>
      <c r="C5" s="956"/>
      <c r="D5" s="956"/>
      <c r="E5" s="956"/>
      <c r="F5" s="956"/>
      <c r="G5" s="956"/>
    </row>
    <row r="6" spans="1:7" s="324" customFormat="1" ht="110.25" customHeight="1" x14ac:dyDescent="0.2">
      <c r="A6" s="957" t="s">
        <v>521</v>
      </c>
      <c r="B6" s="957"/>
      <c r="C6" s="957"/>
      <c r="D6" s="957"/>
      <c r="E6" s="957"/>
      <c r="F6" s="957"/>
      <c r="G6" s="957"/>
    </row>
    <row r="7" spans="1:7" s="324" customFormat="1" ht="18" customHeight="1" thickBot="1" x14ac:dyDescent="0.25">
      <c r="A7" s="331"/>
      <c r="B7" s="330"/>
      <c r="C7" s="330"/>
      <c r="D7" s="330"/>
      <c r="E7" s="323"/>
    </row>
    <row r="8" spans="1:7" s="322" customFormat="1" x14ac:dyDescent="0.2">
      <c r="A8" s="958" t="s">
        <v>23</v>
      </c>
      <c r="B8" s="960" t="s">
        <v>68</v>
      </c>
      <c r="C8" s="962" t="s">
        <v>240</v>
      </c>
      <c r="D8" s="965" t="s">
        <v>243</v>
      </c>
      <c r="E8" s="967" t="s">
        <v>242</v>
      </c>
      <c r="F8" s="968"/>
      <c r="G8" s="952" t="s">
        <v>241</v>
      </c>
    </row>
    <row r="9" spans="1:7" s="322" customFormat="1" ht="24.75" thickBot="1" x14ac:dyDescent="0.25">
      <c r="A9" s="959"/>
      <c r="B9" s="961"/>
      <c r="C9" s="963"/>
      <c r="D9" s="966"/>
      <c r="E9" s="432" t="s">
        <v>240</v>
      </c>
      <c r="F9" s="433" t="s">
        <v>239</v>
      </c>
      <c r="G9" s="953"/>
    </row>
    <row r="10" spans="1:7" ht="17.25" customHeight="1" x14ac:dyDescent="0.2">
      <c r="A10" s="425"/>
      <c r="B10" s="426" t="s">
        <v>69</v>
      </c>
      <c r="C10" s="427"/>
      <c r="D10" s="428"/>
      <c r="E10" s="633"/>
      <c r="F10" s="628"/>
      <c r="G10" s="434"/>
    </row>
    <row r="11" spans="1:7" ht="54.75" customHeight="1" x14ac:dyDescent="0.2">
      <c r="A11" s="423">
        <v>1</v>
      </c>
      <c r="B11" s="329" t="s">
        <v>173</v>
      </c>
      <c r="C11" s="443" t="s">
        <v>238</v>
      </c>
      <c r="D11" s="429">
        <f>'Геол, экол, геод'!G35</f>
        <v>114540</v>
      </c>
      <c r="E11" s="634" t="s">
        <v>481</v>
      </c>
      <c r="F11" s="629">
        <v>3.91</v>
      </c>
      <c r="G11" s="435">
        <f>ROUND(D11*F11,2)</f>
        <v>447851.4</v>
      </c>
    </row>
    <row r="12" spans="1:7" ht="36" x14ac:dyDescent="0.2">
      <c r="A12" s="442">
        <v>2</v>
      </c>
      <c r="B12" s="326" t="s">
        <v>398</v>
      </c>
      <c r="C12" s="620" t="s">
        <v>236</v>
      </c>
      <c r="D12" s="444">
        <f>Археолог!H55</f>
        <v>47430.47</v>
      </c>
      <c r="E12" s="634" t="s">
        <v>507</v>
      </c>
      <c r="F12" s="890">
        <v>3.8210000000000002</v>
      </c>
      <c r="G12" s="621">
        <f>ROUND(D12*F12,2)</f>
        <v>181231.83</v>
      </c>
    </row>
    <row r="13" spans="1:7" x14ac:dyDescent="0.2">
      <c r="A13" s="424"/>
      <c r="B13" s="328" t="s">
        <v>70</v>
      </c>
      <c r="C13" s="804"/>
      <c r="D13" s="430">
        <f>SUM(D11:D12)</f>
        <v>161970.47</v>
      </c>
      <c r="E13" s="635"/>
      <c r="F13" s="630"/>
      <c r="G13" s="436">
        <f>SUM(G11:G12)</f>
        <v>629083.23</v>
      </c>
    </row>
    <row r="14" spans="1:7" x14ac:dyDescent="0.2">
      <c r="A14" s="423"/>
      <c r="B14" s="327" t="s">
        <v>71</v>
      </c>
      <c r="C14" s="443"/>
      <c r="D14" s="431"/>
      <c r="E14" s="635"/>
      <c r="F14" s="631"/>
      <c r="G14" s="437"/>
    </row>
    <row r="15" spans="1:7" ht="33.75" x14ac:dyDescent="0.2">
      <c r="A15" s="423">
        <v>3</v>
      </c>
      <c r="B15" s="326" t="s">
        <v>72</v>
      </c>
      <c r="C15" s="443" t="s">
        <v>237</v>
      </c>
      <c r="D15" s="429">
        <f>Т.с.!H59</f>
        <v>563104.4</v>
      </c>
      <c r="E15" s="512" t="s">
        <v>507</v>
      </c>
      <c r="F15" s="513">
        <v>3.8210000000000002</v>
      </c>
      <c r="G15" s="435">
        <f>ROUND(D15*F15,2)</f>
        <v>2151621.91</v>
      </c>
    </row>
    <row r="16" spans="1:7" ht="19.5" customHeight="1" x14ac:dyDescent="0.2">
      <c r="A16" s="442"/>
      <c r="B16" s="477" t="s">
        <v>269</v>
      </c>
      <c r="C16" s="478"/>
      <c r="D16" s="479">
        <f>ROUND(D15*0.4,2)</f>
        <v>225241.76</v>
      </c>
      <c r="E16" s="636"/>
      <c r="F16" s="632"/>
      <c r="G16" s="479">
        <f>ROUND(G15*0.4,2)</f>
        <v>860648.76</v>
      </c>
    </row>
    <row r="17" spans="1:7" ht="33.75" x14ac:dyDescent="0.2">
      <c r="A17" s="442">
        <v>4</v>
      </c>
      <c r="B17" s="326" t="s">
        <v>270</v>
      </c>
      <c r="C17" s="443" t="s">
        <v>237</v>
      </c>
      <c r="D17" s="509">
        <f>Т.с.!H60</f>
        <v>11262.09</v>
      </c>
      <c r="E17" s="512" t="s">
        <v>507</v>
      </c>
      <c r="F17" s="513">
        <v>3.8210000000000002</v>
      </c>
      <c r="G17" s="446">
        <f>ROUND(D17*F17,2)</f>
        <v>43032.45</v>
      </c>
    </row>
    <row r="18" spans="1:7" ht="33.75" x14ac:dyDescent="0.2">
      <c r="A18" s="442">
        <v>5</v>
      </c>
      <c r="B18" s="326" t="s">
        <v>271</v>
      </c>
      <c r="C18" s="443" t="s">
        <v>237</v>
      </c>
      <c r="D18" s="444">
        <f>Т.с.!H72</f>
        <v>27000</v>
      </c>
      <c r="E18" s="512" t="s">
        <v>507</v>
      </c>
      <c r="F18" s="513">
        <v>3.8210000000000002</v>
      </c>
      <c r="G18" s="446">
        <f>ROUND(D18*F18,2)</f>
        <v>103167</v>
      </c>
    </row>
    <row r="19" spans="1:7" ht="18.75" customHeight="1" x14ac:dyDescent="0.2">
      <c r="A19" s="442"/>
      <c r="B19" s="477" t="s">
        <v>269</v>
      </c>
      <c r="C19" s="478"/>
      <c r="D19" s="479">
        <f>ROUND(D18*0.4,2)</f>
        <v>10800</v>
      </c>
      <c r="E19" s="636"/>
      <c r="F19" s="632"/>
      <c r="G19" s="479">
        <f>ROUND(G18*0.4,2)</f>
        <v>41266.800000000003</v>
      </c>
    </row>
    <row r="20" spans="1:7" ht="33.75" x14ac:dyDescent="0.2">
      <c r="A20" s="442">
        <v>6</v>
      </c>
      <c r="B20" s="326" t="s">
        <v>272</v>
      </c>
      <c r="C20" s="443" t="s">
        <v>237</v>
      </c>
      <c r="D20" s="444">
        <f>Т.с.!H84</f>
        <v>14058</v>
      </c>
      <c r="E20" s="512" t="s">
        <v>507</v>
      </c>
      <c r="F20" s="513">
        <v>3.8210000000000002</v>
      </c>
      <c r="G20" s="446">
        <f>ROUND(D20*F20,2)</f>
        <v>53715.62</v>
      </c>
    </row>
    <row r="21" spans="1:7" ht="33.75" x14ac:dyDescent="0.2">
      <c r="A21" s="423">
        <v>7</v>
      </c>
      <c r="B21" s="326" t="s">
        <v>73</v>
      </c>
      <c r="C21" s="443" t="s">
        <v>235</v>
      </c>
      <c r="D21" s="429">
        <f>'ООС+Тр'!H63</f>
        <v>75207.759999999995</v>
      </c>
      <c r="E21" s="512" t="s">
        <v>507</v>
      </c>
      <c r="F21" s="513">
        <v>3.8210000000000002</v>
      </c>
      <c r="G21" s="435">
        <f>ROUND(D21*F21,2)</f>
        <v>287368.84999999998</v>
      </c>
    </row>
    <row r="22" spans="1:7" ht="33.75" x14ac:dyDescent="0.2">
      <c r="A22" s="423">
        <v>8</v>
      </c>
      <c r="B22" s="325" t="s">
        <v>77</v>
      </c>
      <c r="C22" s="443" t="s">
        <v>234</v>
      </c>
      <c r="D22" s="429">
        <f>ПОЖ!H21</f>
        <v>16500</v>
      </c>
      <c r="E22" s="512" t="s">
        <v>507</v>
      </c>
      <c r="F22" s="513">
        <v>3.8210000000000002</v>
      </c>
      <c r="G22" s="435">
        <f>ROUND(D22*F22,2)</f>
        <v>63046.5</v>
      </c>
    </row>
    <row r="23" spans="1:7" ht="18.75" customHeight="1" x14ac:dyDescent="0.2">
      <c r="A23" s="442"/>
      <c r="B23" s="477" t="s">
        <v>269</v>
      </c>
      <c r="C23" s="478"/>
      <c r="D23" s="479">
        <f>ROUND(D22*0.4,2)</f>
        <v>6600</v>
      </c>
      <c r="E23" s="636"/>
      <c r="F23" s="632"/>
      <c r="G23" s="479">
        <f>ROUND(G22*0.4,2)</f>
        <v>25218.6</v>
      </c>
    </row>
    <row r="24" spans="1:7" ht="36" x14ac:dyDescent="0.2">
      <c r="A24" s="423">
        <v>9</v>
      </c>
      <c r="B24" s="506" t="s">
        <v>275</v>
      </c>
      <c r="C24" s="443" t="s">
        <v>276</v>
      </c>
      <c r="D24" s="429">
        <f>РДП!H21</f>
        <v>67849.2</v>
      </c>
      <c r="E24" s="634" t="s">
        <v>478</v>
      </c>
      <c r="F24" s="629">
        <v>3.83</v>
      </c>
      <c r="G24" s="435">
        <f>ROUND(D24*F24,2)</f>
        <v>259862.44</v>
      </c>
    </row>
    <row r="25" spans="1:7" ht="36.75" customHeight="1" thickBot="1" x14ac:dyDescent="0.25">
      <c r="A25" s="447">
        <v>10</v>
      </c>
      <c r="B25" s="448" t="s">
        <v>154</v>
      </c>
      <c r="C25" s="805" t="s">
        <v>400</v>
      </c>
      <c r="D25" s="449">
        <f>СОГЛ!G17</f>
        <v>29416.73</v>
      </c>
      <c r="E25" s="637" t="s">
        <v>507</v>
      </c>
      <c r="F25" s="513">
        <v>3.8210000000000002</v>
      </c>
      <c r="G25" s="450">
        <f>ROUND(D25*F25,2)</f>
        <v>112401.33</v>
      </c>
    </row>
    <row r="26" spans="1:7" ht="19.5" customHeight="1" x14ac:dyDescent="0.2">
      <c r="A26" s="451"/>
      <c r="B26" s="454" t="s">
        <v>93</v>
      </c>
      <c r="C26" s="806"/>
      <c r="D26" s="452">
        <f>D15+D17+D18+D20+D21+D22+D24+D25</f>
        <v>804398.17999999993</v>
      </c>
      <c r="E26" s="453"/>
      <c r="F26" s="438"/>
      <c r="G26" s="452">
        <f>G15+G17+G18+G20+G21+G22+G24+G25</f>
        <v>3074216.1000000006</v>
      </c>
    </row>
    <row r="27" spans="1:7" s="445" customFormat="1" ht="24.75" customHeight="1" thickBot="1" x14ac:dyDescent="0.25">
      <c r="A27" s="622"/>
      <c r="B27" s="623" t="s">
        <v>399</v>
      </c>
      <c r="C27" s="807"/>
      <c r="D27" s="624">
        <f>D13+D26</f>
        <v>966368.64999999991</v>
      </c>
      <c r="E27" s="625"/>
      <c r="F27" s="626"/>
      <c r="G27" s="627">
        <f>G13+G26</f>
        <v>3703299.3300000005</v>
      </c>
    </row>
    <row r="28" spans="1:7" s="758" customFormat="1" ht="31.5" customHeight="1" x14ac:dyDescent="0.2">
      <c r="A28" s="752">
        <v>11</v>
      </c>
      <c r="B28" s="753" t="s">
        <v>442</v>
      </c>
      <c r="C28" s="801" t="s">
        <v>501</v>
      </c>
      <c r="D28" s="754">
        <f>D29+D30</f>
        <v>17808.3</v>
      </c>
      <c r="E28" s="755"/>
      <c r="F28" s="756"/>
      <c r="G28" s="757">
        <f>G29+G30</f>
        <v>68061.7</v>
      </c>
    </row>
    <row r="29" spans="1:7" s="445" customFormat="1" ht="35.25" customHeight="1" x14ac:dyDescent="0.2">
      <c r="A29" s="759" t="s">
        <v>499</v>
      </c>
      <c r="B29" s="760" t="s">
        <v>443</v>
      </c>
      <c r="C29" s="802" t="s">
        <v>501</v>
      </c>
      <c r="D29" s="761">
        <f>'авт надзор'!F18</f>
        <v>16010.3</v>
      </c>
      <c r="E29" s="762" t="s">
        <v>505</v>
      </c>
      <c r="F29" s="763">
        <v>3.8210000000000002</v>
      </c>
      <c r="G29" s="764">
        <f>ROUND(D29*F29,2)</f>
        <v>61175.360000000001</v>
      </c>
    </row>
    <row r="30" spans="1:7" s="445" customFormat="1" ht="31.5" customHeight="1" x14ac:dyDescent="0.2">
      <c r="A30" s="759" t="s">
        <v>500</v>
      </c>
      <c r="B30" s="760" t="s">
        <v>444</v>
      </c>
      <c r="C30" s="802" t="s">
        <v>501</v>
      </c>
      <c r="D30" s="761">
        <f>'авт надзор'!F19</f>
        <v>1798</v>
      </c>
      <c r="E30" s="762" t="s">
        <v>511</v>
      </c>
      <c r="F30" s="763">
        <v>3.83</v>
      </c>
      <c r="G30" s="764">
        <f>ROUND(D30*F30,2)</f>
        <v>6886.34</v>
      </c>
    </row>
    <row r="31" spans="1:7" s="490" customFormat="1" ht="22.5" customHeight="1" thickBot="1" x14ac:dyDescent="0.25">
      <c r="A31" s="765"/>
      <c r="B31" s="954" t="s">
        <v>233</v>
      </c>
      <c r="C31" s="955"/>
      <c r="D31" s="766">
        <f>ROUND(D27+D28,2)</f>
        <v>984176.95</v>
      </c>
      <c r="E31" s="767"/>
      <c r="F31" s="768"/>
      <c r="G31" s="769">
        <f>G27+G28</f>
        <v>3771361.0300000007</v>
      </c>
    </row>
    <row r="32" spans="1:7" s="703" customFormat="1" ht="14.25" customHeight="1" x14ac:dyDescent="0.2">
      <c r="A32" s="490"/>
      <c r="B32" s="490"/>
      <c r="C32" s="490"/>
      <c r="D32" s="492"/>
      <c r="E32" s="770"/>
      <c r="F32" s="490"/>
      <c r="G32" s="503"/>
    </row>
    <row r="33" spans="1:7" s="703" customFormat="1" ht="14.25" x14ac:dyDescent="0.2">
      <c r="A33" s="699"/>
      <c r="B33" s="964" t="s">
        <v>273</v>
      </c>
      <c r="C33" s="964"/>
      <c r="D33" s="700"/>
      <c r="E33" s="701"/>
      <c r="F33" s="701"/>
      <c r="G33" s="702">
        <f>G31</f>
        <v>3771361.0300000007</v>
      </c>
    </row>
    <row r="34" spans="1:7" s="703" customFormat="1" ht="15" customHeight="1" x14ac:dyDescent="0.2">
      <c r="A34" s="699"/>
      <c r="B34" s="964" t="s">
        <v>509</v>
      </c>
      <c r="C34" s="964"/>
      <c r="D34" s="700"/>
      <c r="E34" s="701"/>
      <c r="F34" s="701"/>
      <c r="G34" s="480">
        <f>ROUND(G33*0.2,2)</f>
        <v>754272.21</v>
      </c>
    </row>
    <row r="35" spans="1:7" s="708" customFormat="1" ht="15" x14ac:dyDescent="0.2">
      <c r="A35" s="699"/>
      <c r="B35" s="964" t="s">
        <v>510</v>
      </c>
      <c r="C35" s="964"/>
      <c r="D35" s="700"/>
      <c r="E35" s="701"/>
      <c r="F35" s="701"/>
      <c r="G35" s="480">
        <f>ROUND(SUM(G33:G34),2)</f>
        <v>4525633.24</v>
      </c>
    </row>
    <row r="36" spans="1:7" s="708" customFormat="1" ht="15" x14ac:dyDescent="0.2">
      <c r="A36" s="699"/>
      <c r="B36" s="751"/>
      <c r="C36" s="751"/>
      <c r="D36" s="700"/>
      <c r="E36" s="701"/>
      <c r="F36" s="701"/>
      <c r="G36" s="480"/>
    </row>
    <row r="37" spans="1:7" s="708" customFormat="1" ht="15" x14ac:dyDescent="0.2">
      <c r="A37" s="699"/>
      <c r="B37" s="751"/>
      <c r="C37" s="751"/>
      <c r="D37" s="700"/>
      <c r="E37" s="701"/>
      <c r="F37" s="701"/>
      <c r="G37" s="480"/>
    </row>
    <row r="38" spans="1:7" s="708" customFormat="1" ht="15" x14ac:dyDescent="0.2">
      <c r="A38" s="699"/>
      <c r="B38" s="751"/>
      <c r="C38" s="751"/>
      <c r="D38" s="700"/>
      <c r="E38" s="701"/>
      <c r="F38" s="701"/>
      <c r="G38" s="480"/>
    </row>
    <row r="39" spans="1:7" s="708" customFormat="1" ht="15" x14ac:dyDescent="0.2">
      <c r="A39" s="617"/>
      <c r="B39" s="704"/>
      <c r="C39" s="705"/>
      <c r="D39" s="706"/>
      <c r="E39" s="707"/>
    </row>
    <row r="40" spans="1:7" s="616" customFormat="1" ht="15" x14ac:dyDescent="0.2">
      <c r="A40" s="617"/>
      <c r="B40" s="490"/>
      <c r="C40" s="490"/>
      <c r="D40" s="490"/>
      <c r="E40" s="504"/>
      <c r="G40" s="709"/>
    </row>
    <row r="41" spans="1:7" s="618" customFormat="1" ht="15" x14ac:dyDescent="0.2">
      <c r="A41" s="617"/>
      <c r="B41" s="502"/>
      <c r="C41" s="502"/>
      <c r="D41" s="502"/>
      <c r="E41" s="504"/>
      <c r="F41" s="510"/>
    </row>
    <row r="42" spans="1:7" s="618" customFormat="1" ht="15" x14ac:dyDescent="0.2">
      <c r="A42" s="617"/>
      <c r="B42" s="502"/>
      <c r="C42" s="502"/>
      <c r="D42" s="502"/>
      <c r="E42" s="504"/>
      <c r="F42" s="510"/>
    </row>
    <row r="43" spans="1:7" s="617" customFormat="1" ht="15" x14ac:dyDescent="0.2">
      <c r="A43" s="616"/>
      <c r="B43" s="490"/>
      <c r="C43" s="490"/>
      <c r="D43" s="490"/>
      <c r="E43" s="619"/>
    </row>
    <row r="44" spans="1:7" s="617" customFormat="1" ht="15" x14ac:dyDescent="0.2">
      <c r="A44" s="616"/>
      <c r="B44" s="490"/>
      <c r="C44" s="490"/>
      <c r="D44" s="490"/>
      <c r="E44" s="504"/>
    </row>
    <row r="45" spans="1:7" s="617" customFormat="1" ht="15" x14ac:dyDescent="0.2">
      <c r="A45" s="616"/>
      <c r="B45" s="710"/>
      <c r="C45" s="710"/>
      <c r="D45" s="711"/>
      <c r="E45" s="712"/>
    </row>
    <row r="46" spans="1:7" s="617" customFormat="1" ht="15" x14ac:dyDescent="0.2">
      <c r="A46" s="616"/>
      <c r="B46" s="710"/>
      <c r="C46" s="710"/>
      <c r="D46" s="711"/>
      <c r="E46" s="713"/>
    </row>
    <row r="47" spans="1:7" s="617" customFormat="1" ht="15" x14ac:dyDescent="0.2">
      <c r="A47" s="616"/>
      <c r="B47" s="710"/>
      <c r="C47" s="710"/>
      <c r="D47" s="711"/>
      <c r="E47" s="712"/>
    </row>
    <row r="48" spans="1:7" s="445" customFormat="1" ht="15" x14ac:dyDescent="0.2">
      <c r="A48" s="617"/>
      <c r="B48" s="704"/>
      <c r="C48" s="705"/>
      <c r="D48" s="706"/>
      <c r="E48" s="707"/>
    </row>
  </sheetData>
  <mergeCells count="12">
    <mergeCell ref="B34:C34"/>
    <mergeCell ref="B35:C35"/>
    <mergeCell ref="B33:C33"/>
    <mergeCell ref="D8:D9"/>
    <mergeCell ref="E8:F8"/>
    <mergeCell ref="G8:G9"/>
    <mergeCell ref="B31:C31"/>
    <mergeCell ref="A5:G5"/>
    <mergeCell ref="A6:G6"/>
    <mergeCell ref="A8:A9"/>
    <mergeCell ref="B8:B9"/>
    <mergeCell ref="C8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view="pageBreakPreview" topLeftCell="A81" zoomScale="70" zoomScaleNormal="80" zoomScaleSheetLayoutView="70" workbookViewId="0">
      <selection activeCell="B89" sqref="B89:I99"/>
    </sheetView>
  </sheetViews>
  <sheetFormatPr defaultColWidth="9.140625" defaultRowHeight="12.75" x14ac:dyDescent="0.2"/>
  <cols>
    <col min="1" max="1" width="3.85546875" style="3" customWidth="1"/>
    <col min="2" max="2" width="37.7109375" style="3" customWidth="1"/>
    <col min="3" max="3" width="11.42578125" style="13" customWidth="1"/>
    <col min="4" max="4" width="12.28515625" style="5" customWidth="1"/>
    <col min="5" max="5" width="30.5703125" style="3" customWidth="1"/>
    <col min="6" max="6" width="8.140625" style="6" bestFit="1" customWidth="1"/>
    <col min="7" max="7" width="32.42578125" style="3" customWidth="1"/>
    <col min="8" max="8" width="12.85546875" style="16" customWidth="1"/>
    <col min="9" max="9" width="19.140625" style="210" customWidth="1"/>
    <col min="10" max="10" width="15.140625" style="8" customWidth="1"/>
    <col min="11" max="14" width="15" style="8" customWidth="1"/>
    <col min="15" max="16384" width="9.140625" style="3"/>
  </cols>
  <sheetData>
    <row r="1" spans="1:16" x14ac:dyDescent="0.2">
      <c r="C1" s="4"/>
      <c r="G1" s="7" t="s">
        <v>22</v>
      </c>
      <c r="H1" s="232"/>
    </row>
    <row r="2" spans="1:16" x14ac:dyDescent="0.2">
      <c r="C2" s="4"/>
      <c r="G2" s="7" t="s">
        <v>83</v>
      </c>
      <c r="H2" s="233"/>
    </row>
    <row r="3" spans="1:16" x14ac:dyDescent="0.2">
      <c r="C3" s="4"/>
      <c r="G3" s="9" t="s">
        <v>89</v>
      </c>
      <c r="H3" s="233"/>
    </row>
    <row r="4" spans="1:16" s="12" customFormat="1" ht="6.75" customHeight="1" x14ac:dyDescent="0.2">
      <c r="A4" s="10"/>
      <c r="B4" s="10"/>
      <c r="C4" s="11"/>
      <c r="D4" s="10"/>
      <c r="E4" s="10"/>
      <c r="F4" s="10"/>
      <c r="G4" s="10"/>
      <c r="H4" s="234"/>
      <c r="I4" s="211"/>
    </row>
    <row r="5" spans="1:16" ht="17.25" hidden="1" customHeight="1" x14ac:dyDescent="0.2">
      <c r="D5" s="14"/>
      <c r="F5" s="15"/>
      <c r="G5" s="378"/>
    </row>
    <row r="6" spans="1:16" ht="16.5" customHeight="1" x14ac:dyDescent="0.2">
      <c r="A6" s="1022" t="s">
        <v>263</v>
      </c>
      <c r="B6" s="1022"/>
      <c r="C6" s="1022"/>
      <c r="D6" s="1022"/>
      <c r="E6" s="1022"/>
      <c r="F6" s="1022"/>
      <c r="G6" s="1022"/>
      <c r="H6" s="1022"/>
    </row>
    <row r="7" spans="1:16" ht="9" customHeight="1" x14ac:dyDescent="0.2">
      <c r="A7" s="377"/>
      <c r="B7" s="377"/>
      <c r="C7" s="377"/>
      <c r="D7" s="377"/>
      <c r="E7" s="377"/>
      <c r="F7" s="377"/>
      <c r="G7" s="377"/>
      <c r="H7" s="254"/>
    </row>
    <row r="8" spans="1:16" ht="81" customHeight="1" x14ac:dyDescent="0.2">
      <c r="A8" s="1023" t="str">
        <f>'С С Р'!A6:G6</f>
        <v>Выполнение изыскательских работ, разработка проектной документации, рабочей документации и на их основе составление сметы на строительство тепловой сети для осуществления подключения объекта капитального строительства «Школа на 800 мест», расположенного по адресам: г. Москва, ш. Дмитровское, вл.107; г. Москва, ш. Дмитровское, вл.107, стр.11А</v>
      </c>
      <c r="B8" s="1023"/>
      <c r="C8" s="1023"/>
      <c r="D8" s="1023"/>
      <c r="E8" s="1023"/>
      <c r="F8" s="1023"/>
      <c r="G8" s="1023"/>
      <c r="H8" s="1023"/>
    </row>
    <row r="9" spans="1:16" ht="9.75" customHeight="1" x14ac:dyDescent="0.2">
      <c r="A9" s="1024"/>
      <c r="B9" s="1024"/>
      <c r="C9" s="1024"/>
      <c r="D9" s="1024"/>
      <c r="E9" s="1024"/>
      <c r="F9" s="1024"/>
      <c r="G9" s="1024"/>
      <c r="H9" s="1024"/>
    </row>
    <row r="10" spans="1:16" x14ac:dyDescent="0.2">
      <c r="A10" s="1024" t="s">
        <v>90</v>
      </c>
      <c r="B10" s="1024"/>
      <c r="C10" s="1024"/>
      <c r="D10" s="1024"/>
      <c r="E10" s="1024"/>
      <c r="F10" s="1024"/>
      <c r="G10" s="1024"/>
      <c r="H10" s="1024"/>
    </row>
    <row r="11" spans="1:16" ht="36" customHeight="1" x14ac:dyDescent="0.2">
      <c r="A11" s="980" t="s">
        <v>508</v>
      </c>
      <c r="B11" s="980"/>
      <c r="C11" s="980"/>
      <c r="D11" s="980"/>
      <c r="E11" s="980"/>
      <c r="F11" s="980"/>
      <c r="G11" s="980"/>
      <c r="H11" s="980"/>
      <c r="I11" s="1020"/>
      <c r="J11" s="1020"/>
      <c r="K11" s="1020"/>
      <c r="L11" s="1020"/>
      <c r="M11" s="1020"/>
      <c r="N11" s="1020"/>
      <c r="O11" s="1020"/>
      <c r="P11" s="1020"/>
    </row>
    <row r="12" spans="1:16" ht="9.75" customHeight="1" x14ac:dyDescent="0.2">
      <c r="A12" s="980"/>
      <c r="B12" s="980"/>
      <c r="C12" s="980"/>
      <c r="D12" s="980"/>
      <c r="E12" s="980"/>
      <c r="F12" s="980"/>
      <c r="G12" s="980"/>
      <c r="H12" s="980"/>
    </row>
    <row r="13" spans="1:16" ht="9.75" customHeight="1" thickBot="1" x14ac:dyDescent="0.25">
      <c r="B13" s="17"/>
      <c r="D13" s="3"/>
      <c r="I13" s="212"/>
      <c r="J13" s="18"/>
      <c r="K13" s="18"/>
      <c r="L13" s="18"/>
      <c r="M13" s="18"/>
      <c r="N13" s="18"/>
    </row>
    <row r="14" spans="1:16" ht="39" customHeight="1" thickBot="1" x14ac:dyDescent="0.25">
      <c r="A14" s="19" t="s">
        <v>23</v>
      </c>
      <c r="B14" s="984" t="s">
        <v>2</v>
      </c>
      <c r="C14" s="985"/>
      <c r="D14" s="20" t="s">
        <v>8</v>
      </c>
      <c r="E14" s="21" t="s">
        <v>3</v>
      </c>
      <c r="F14" s="22" t="s">
        <v>4</v>
      </c>
      <c r="G14" s="376" t="s">
        <v>0</v>
      </c>
      <c r="H14" s="20" t="s">
        <v>5</v>
      </c>
    </row>
    <row r="15" spans="1:16" ht="17.25" customHeight="1" thickBot="1" x14ac:dyDescent="0.25">
      <c r="A15" s="23"/>
      <c r="B15" s="984" t="s">
        <v>264</v>
      </c>
      <c r="C15" s="1021"/>
      <c r="D15" s="1021"/>
      <c r="E15" s="1021"/>
      <c r="F15" s="1021"/>
      <c r="G15" s="1021"/>
      <c r="H15" s="985"/>
    </row>
    <row r="16" spans="1:16" ht="17.25" customHeight="1" thickBot="1" x14ac:dyDescent="0.3">
      <c r="A16" s="977" t="s">
        <v>512</v>
      </c>
      <c r="B16" s="978"/>
      <c r="C16" s="978"/>
      <c r="D16" s="978"/>
      <c r="E16" s="978"/>
      <c r="F16" s="978"/>
      <c r="G16" s="978"/>
      <c r="H16" s="979"/>
    </row>
    <row r="17" spans="1:14" ht="25.5" x14ac:dyDescent="0.2">
      <c r="A17" s="972">
        <v>1</v>
      </c>
      <c r="B17" s="771" t="s">
        <v>445</v>
      </c>
      <c r="C17" s="247">
        <f>SUM(C21:C23)</f>
        <v>100</v>
      </c>
      <c r="D17" s="239">
        <f>ROUND(C19+C17*C20,2)</f>
        <v>115200</v>
      </c>
      <c r="E17" s="789" t="s">
        <v>449</v>
      </c>
      <c r="F17" s="243">
        <v>1.1000000000000001</v>
      </c>
      <c r="G17" s="248"/>
      <c r="H17" s="240"/>
    </row>
    <row r="18" spans="1:14" ht="25.5" x14ac:dyDescent="0.2">
      <c r="A18" s="973"/>
      <c r="B18" s="889" t="s">
        <v>522</v>
      </c>
      <c r="C18" s="249"/>
      <c r="D18" s="256"/>
      <c r="E18" s="789" t="s">
        <v>450</v>
      </c>
      <c r="F18" s="243">
        <v>1.1499999999999999</v>
      </c>
      <c r="G18" s="246"/>
      <c r="H18" s="242"/>
      <c r="J18" s="3"/>
      <c r="K18" s="3"/>
      <c r="L18" s="3"/>
      <c r="M18" s="3"/>
      <c r="N18" s="3"/>
    </row>
    <row r="19" spans="1:14" ht="25.5" x14ac:dyDescent="0.2">
      <c r="A19" s="973"/>
      <c r="B19" s="772" t="s">
        <v>513</v>
      </c>
      <c r="C19" s="237">
        <v>81000</v>
      </c>
      <c r="D19" s="773"/>
      <c r="E19" s="790" t="s">
        <v>515</v>
      </c>
      <c r="F19" s="243">
        <v>1.75</v>
      </c>
      <c r="G19" s="246"/>
      <c r="H19" s="338"/>
      <c r="I19" s="348"/>
      <c r="J19" s="3"/>
      <c r="K19" s="3"/>
      <c r="L19" s="3"/>
      <c r="M19" s="3"/>
      <c r="N19" s="3"/>
    </row>
    <row r="20" spans="1:14" ht="25.5" x14ac:dyDescent="0.2">
      <c r="A20" s="973"/>
      <c r="B20" s="250" t="s">
        <v>11</v>
      </c>
      <c r="C20" s="237">
        <v>342</v>
      </c>
      <c r="D20" s="256"/>
      <c r="E20" s="789" t="s">
        <v>516</v>
      </c>
      <c r="F20" s="243">
        <v>2</v>
      </c>
      <c r="G20" s="244"/>
      <c r="H20" s="245"/>
      <c r="I20" s="714"/>
      <c r="J20" s="3"/>
      <c r="K20" s="3"/>
      <c r="L20" s="3"/>
      <c r="M20" s="3"/>
      <c r="N20" s="3"/>
    </row>
    <row r="21" spans="1:14" x14ac:dyDescent="0.2">
      <c r="A21" s="973"/>
      <c r="B21" s="774" t="s">
        <v>514</v>
      </c>
      <c r="C21" s="237">
        <v>25</v>
      </c>
      <c r="D21" s="256"/>
      <c r="E21" s="789"/>
      <c r="F21" s="243"/>
      <c r="G21" s="251" t="str">
        <f>CONCATENATE(D17," * ",F17," * ",F19," * ",C21," / ",C17)</f>
        <v>115200 * 1,1 * 1,75 * 25 / 100</v>
      </c>
      <c r="H21" s="242">
        <f>ROUND(D17*F17*F19*C21/C17,2)</f>
        <v>55440</v>
      </c>
      <c r="J21" s="3"/>
      <c r="K21" s="3"/>
      <c r="L21" s="3"/>
      <c r="M21" s="3"/>
      <c r="N21" s="3"/>
    </row>
    <row r="22" spans="1:14" x14ac:dyDescent="0.2">
      <c r="A22" s="973"/>
      <c r="B22" s="774" t="s">
        <v>518</v>
      </c>
      <c r="C22" s="237">
        <v>55</v>
      </c>
      <c r="D22" s="256"/>
      <c r="E22" s="789"/>
      <c r="F22" s="243"/>
      <c r="G22" s="251" t="str">
        <f>CONCATENATE(D17," * ",F17," * ",F19," * ",C22," / ",C17)</f>
        <v>115200 * 1,1 * 1,75 * 55 / 100</v>
      </c>
      <c r="H22" s="242">
        <f>ROUND(D17*F17*F19*C22/C17,2)</f>
        <v>121968</v>
      </c>
      <c r="J22" s="3"/>
      <c r="K22" s="3"/>
      <c r="L22" s="3"/>
      <c r="M22" s="3"/>
      <c r="N22" s="3"/>
    </row>
    <row r="23" spans="1:14" ht="13.5" thickBot="1" x14ac:dyDescent="0.25">
      <c r="A23" s="973"/>
      <c r="B23" s="774" t="s">
        <v>479</v>
      </c>
      <c r="C23" s="237">
        <v>20</v>
      </c>
      <c r="D23" s="256"/>
      <c r="E23" s="244"/>
      <c r="F23" s="842"/>
      <c r="G23" s="251" t="str">
        <f>CONCATENATE(D17," * ",F20," * ",C23," / ",C17)</f>
        <v>115200 * 2 * 20 / 100</v>
      </c>
      <c r="H23" s="242">
        <f>ROUND(D17*F20*C23/C17,2)</f>
        <v>46080</v>
      </c>
      <c r="J23" s="3"/>
      <c r="K23" s="3"/>
      <c r="L23" s="3"/>
      <c r="M23" s="3"/>
      <c r="N23" s="3"/>
    </row>
    <row r="24" spans="1:14" x14ac:dyDescent="0.2">
      <c r="A24" s="972">
        <v>2</v>
      </c>
      <c r="B24" s="935" t="s">
        <v>523</v>
      </c>
      <c r="C24" s="936">
        <f>C21</f>
        <v>25</v>
      </c>
      <c r="D24" s="852">
        <f>ROUND(C25+C24*C26,2)</f>
        <v>158000</v>
      </c>
      <c r="E24" s="844"/>
      <c r="F24" s="845"/>
      <c r="G24" s="846"/>
      <c r="H24" s="853"/>
    </row>
    <row r="25" spans="1:14" ht="25.5" x14ac:dyDescent="0.2">
      <c r="A25" s="973"/>
      <c r="B25" s="934" t="s">
        <v>524</v>
      </c>
      <c r="C25" s="937">
        <v>158000</v>
      </c>
      <c r="D25" s="2"/>
      <c r="E25" s="938" t="s">
        <v>525</v>
      </c>
      <c r="F25" s="241">
        <v>0.6</v>
      </c>
      <c r="G25" s="939" t="str">
        <f>CONCATENATE(D24,"*",F25)</f>
        <v>158000*0,6</v>
      </c>
      <c r="H25" s="854">
        <f>ROUND(D24*F25,2)</f>
        <v>94800</v>
      </c>
    </row>
    <row r="26" spans="1:14" ht="13.5" thickBot="1" x14ac:dyDescent="0.25">
      <c r="A26" s="974"/>
      <c r="B26" s="855" t="s">
        <v>11</v>
      </c>
      <c r="C26" s="940"/>
      <c r="D26" s="507"/>
      <c r="E26" s="941"/>
      <c r="F26" s="196"/>
      <c r="G26" s="856"/>
      <c r="H26" s="925"/>
    </row>
    <row r="27" spans="1:14" ht="15.75" customHeight="1" thickBot="1" x14ac:dyDescent="0.3">
      <c r="A27" s="977" t="s">
        <v>531</v>
      </c>
      <c r="B27" s="978"/>
      <c r="C27" s="978"/>
      <c r="D27" s="978"/>
      <c r="E27" s="978"/>
      <c r="F27" s="978"/>
      <c r="G27" s="978"/>
      <c r="H27" s="979"/>
      <c r="J27" s="3"/>
      <c r="K27" s="3"/>
      <c r="L27" s="3"/>
      <c r="M27" s="3"/>
      <c r="N27" s="3"/>
    </row>
    <row r="28" spans="1:14" ht="13.5" thickBot="1" x14ac:dyDescent="0.25">
      <c r="A28" s="932"/>
      <c r="B28" s="921" t="s">
        <v>532</v>
      </c>
      <c r="C28" s="922"/>
      <c r="D28" s="923"/>
      <c r="E28" s="924"/>
      <c r="F28" s="241"/>
      <c r="G28" s="856"/>
      <c r="H28" s="925"/>
      <c r="J28" s="3"/>
      <c r="K28" s="3"/>
      <c r="L28" s="3"/>
      <c r="M28" s="3"/>
      <c r="N28" s="3"/>
    </row>
    <row r="29" spans="1:14" ht="25.5" x14ac:dyDescent="0.2">
      <c r="A29" s="969">
        <v>3</v>
      </c>
      <c r="B29" s="872" t="s">
        <v>533</v>
      </c>
      <c r="C29" s="926">
        <f>(4.2+4.6)*2*2</f>
        <v>35.200000000000003</v>
      </c>
      <c r="D29" s="239">
        <f>C31+C32*C29</f>
        <v>68280</v>
      </c>
      <c r="E29" s="927" t="s">
        <v>534</v>
      </c>
      <c r="F29" s="845">
        <v>1.2</v>
      </c>
      <c r="G29" s="846" t="str">
        <f>CONCATENATE(D29," * ",F29," * ",F30," * ",F31)</f>
        <v>68280 * 1,2 * 1 * 1</v>
      </c>
      <c r="H29" s="240">
        <f>ROUND(D29*F29*F30*F31,2)</f>
        <v>81936</v>
      </c>
      <c r="J29" s="3"/>
      <c r="K29" s="3"/>
      <c r="L29" s="3"/>
      <c r="M29" s="3"/>
      <c r="N29" s="3"/>
    </row>
    <row r="30" spans="1:14" x14ac:dyDescent="0.2">
      <c r="A30" s="970"/>
      <c r="B30" s="876" t="s">
        <v>535</v>
      </c>
      <c r="C30" s="882"/>
      <c r="D30" s="256"/>
      <c r="E30" s="878" t="s">
        <v>277</v>
      </c>
      <c r="F30" s="243">
        <v>1</v>
      </c>
      <c r="G30" s="244"/>
      <c r="H30" s="245"/>
      <c r="J30" s="3"/>
      <c r="K30" s="3"/>
      <c r="L30" s="3"/>
      <c r="M30" s="3"/>
      <c r="N30" s="3"/>
    </row>
    <row r="31" spans="1:14" ht="25.5" x14ac:dyDescent="0.2">
      <c r="A31" s="970"/>
      <c r="B31" s="880" t="s">
        <v>536</v>
      </c>
      <c r="C31" s="949">
        <v>19000</v>
      </c>
      <c r="D31" s="868"/>
      <c r="E31" s="950" t="str">
        <f>B28</f>
        <v>строительная часть - 100%</v>
      </c>
      <c r="F31" s="243">
        <v>1</v>
      </c>
      <c r="G31" s="244"/>
      <c r="H31" s="847"/>
      <c r="J31" s="3"/>
      <c r="K31" s="3"/>
      <c r="L31" s="3"/>
      <c r="M31" s="3"/>
      <c r="N31" s="3"/>
    </row>
    <row r="32" spans="1:14" ht="13.5" thickBot="1" x14ac:dyDescent="0.25">
      <c r="A32" s="971"/>
      <c r="B32" s="857" t="s">
        <v>11</v>
      </c>
      <c r="C32" s="928">
        <v>1400</v>
      </c>
      <c r="D32" s="848"/>
      <c r="E32" s="929"/>
      <c r="F32" s="930"/>
      <c r="G32" s="920"/>
      <c r="H32" s="851"/>
      <c r="J32" s="3"/>
      <c r="K32" s="3"/>
      <c r="L32" s="3"/>
      <c r="M32" s="3"/>
      <c r="N32" s="3"/>
    </row>
    <row r="33" spans="1:14" ht="13.5" thickBot="1" x14ac:dyDescent="0.25">
      <c r="A33" s="932"/>
      <c r="B33" s="921" t="s">
        <v>278</v>
      </c>
      <c r="C33" s="922"/>
      <c r="D33" s="923"/>
      <c r="E33" s="924"/>
      <c r="F33" s="241"/>
      <c r="G33" s="856"/>
      <c r="H33" s="925"/>
      <c r="J33" s="3"/>
      <c r="K33" s="3"/>
      <c r="L33" s="3"/>
      <c r="M33" s="3"/>
      <c r="N33" s="3"/>
    </row>
    <row r="34" spans="1:14" ht="25.5" x14ac:dyDescent="0.2">
      <c r="A34" s="969">
        <v>4</v>
      </c>
      <c r="B34" s="880" t="s">
        <v>502</v>
      </c>
      <c r="C34" s="931"/>
      <c r="D34" s="836">
        <f>ROUND(C36+C34*C37,2)</f>
        <v>11000</v>
      </c>
      <c r="E34" s="927" t="s">
        <v>534</v>
      </c>
      <c r="F34" s="845">
        <v>1.2</v>
      </c>
      <c r="G34" s="846" t="str">
        <f>CONCATENATE(D34," * ",F34," * ",F35," * ",F36)</f>
        <v>11000 * 1,2 * 1 * 1</v>
      </c>
      <c r="H34" s="240">
        <f>ROUND(D34*F34*F35*F36,2)</f>
        <v>13200</v>
      </c>
      <c r="J34" s="3"/>
      <c r="K34" s="3"/>
      <c r="L34" s="3"/>
      <c r="M34" s="3"/>
      <c r="N34" s="3"/>
    </row>
    <row r="35" spans="1:14" x14ac:dyDescent="0.2">
      <c r="A35" s="970"/>
      <c r="B35" s="843"/>
      <c r="C35" s="237"/>
      <c r="D35" s="256"/>
      <c r="E35" s="878" t="s">
        <v>279</v>
      </c>
      <c r="F35" s="243">
        <v>1</v>
      </c>
      <c r="G35" s="244"/>
      <c r="H35" s="245"/>
      <c r="J35" s="3"/>
      <c r="K35" s="3"/>
      <c r="L35" s="3"/>
      <c r="M35" s="3"/>
      <c r="N35" s="3"/>
    </row>
    <row r="36" spans="1:14" x14ac:dyDescent="0.2">
      <c r="A36" s="970"/>
      <c r="B36" s="880" t="s">
        <v>506</v>
      </c>
      <c r="C36" s="237">
        <v>11000</v>
      </c>
      <c r="D36" s="256"/>
      <c r="E36" s="950" t="s">
        <v>278</v>
      </c>
      <c r="F36" s="243">
        <v>1</v>
      </c>
      <c r="G36" s="244"/>
      <c r="H36" s="847"/>
      <c r="J36" s="3"/>
      <c r="K36" s="3"/>
      <c r="L36" s="3"/>
      <c r="M36" s="3"/>
      <c r="N36" s="3"/>
    </row>
    <row r="37" spans="1:14" ht="14.25" customHeight="1" thickBot="1" x14ac:dyDescent="0.25">
      <c r="A37" s="971"/>
      <c r="B37" s="857" t="s">
        <v>11</v>
      </c>
      <c r="C37" s="928"/>
      <c r="D37" s="507"/>
      <c r="E37" s="951"/>
      <c r="F37" s="850"/>
      <c r="G37" s="920"/>
      <c r="H37" s="851"/>
      <c r="J37" s="3"/>
      <c r="K37" s="3"/>
      <c r="L37" s="3"/>
      <c r="M37" s="3"/>
      <c r="N37" s="3"/>
    </row>
    <row r="38" spans="1:14" ht="14.25" thickBot="1" x14ac:dyDescent="0.25">
      <c r="A38" s="1025" t="s">
        <v>528</v>
      </c>
      <c r="B38" s="1026"/>
      <c r="C38" s="1026"/>
      <c r="D38" s="1026"/>
      <c r="E38" s="1026"/>
      <c r="F38" s="1026"/>
      <c r="G38" s="1026"/>
      <c r="H38" s="1027"/>
    </row>
    <row r="39" spans="1:14" x14ac:dyDescent="0.2">
      <c r="A39" s="972">
        <v>5</v>
      </c>
      <c r="B39" s="858" t="s">
        <v>473</v>
      </c>
      <c r="C39" s="859">
        <v>30</v>
      </c>
      <c r="D39" s="860">
        <f>ROUND(C41+C39*C42,2)</f>
        <v>153000</v>
      </c>
      <c r="E39" s="861"/>
      <c r="F39" s="862"/>
      <c r="G39" s="846" t="str">
        <f>CONCATENATE(D39," * ",F40)</f>
        <v>153000 * 0,4</v>
      </c>
      <c r="H39" s="240">
        <f>ROUND(D39*F40,2)</f>
        <v>61200</v>
      </c>
    </row>
    <row r="40" spans="1:14" ht="25.5" x14ac:dyDescent="0.2">
      <c r="A40" s="973"/>
      <c r="B40" s="863" t="s">
        <v>529</v>
      </c>
      <c r="C40" s="864"/>
      <c r="D40" s="256"/>
      <c r="E40" s="790" t="s">
        <v>474</v>
      </c>
      <c r="F40" s="241">
        <v>0.4</v>
      </c>
      <c r="G40" s="246"/>
      <c r="H40" s="242"/>
    </row>
    <row r="41" spans="1:14" x14ac:dyDescent="0.2">
      <c r="A41" s="973"/>
      <c r="B41" s="865" t="s">
        <v>519</v>
      </c>
      <c r="C41" s="803">
        <v>153000</v>
      </c>
      <c r="D41" s="256"/>
      <c r="E41" s="337"/>
      <c r="F41" s="243"/>
      <c r="G41" s="246"/>
      <c r="H41" s="338"/>
    </row>
    <row r="42" spans="1:14" ht="13.5" thickBot="1" x14ac:dyDescent="0.25">
      <c r="A42" s="974"/>
      <c r="B42" s="866" t="s">
        <v>11</v>
      </c>
      <c r="C42" s="867"/>
      <c r="D42" s="868"/>
      <c r="E42" s="869"/>
      <c r="F42" s="870"/>
      <c r="G42" s="871"/>
      <c r="H42" s="847"/>
    </row>
    <row r="43" spans="1:14" ht="25.5" x14ac:dyDescent="0.2">
      <c r="A43" s="969">
        <v>6</v>
      </c>
      <c r="B43" s="872" t="s">
        <v>475</v>
      </c>
      <c r="C43" s="873">
        <f>(3.2+3.2)*2*2</f>
        <v>25.6</v>
      </c>
      <c r="D43" s="852">
        <f>ROUND(C45+C43*C46,2)</f>
        <v>37528</v>
      </c>
      <c r="E43" s="874"/>
      <c r="F43" s="874"/>
      <c r="G43" s="874"/>
      <c r="H43" s="875"/>
    </row>
    <row r="44" spans="1:14" x14ac:dyDescent="0.2">
      <c r="A44" s="970"/>
      <c r="B44" s="876" t="s">
        <v>520</v>
      </c>
      <c r="C44" s="877"/>
      <c r="D44" s="256"/>
      <c r="E44" s="878" t="s">
        <v>277</v>
      </c>
      <c r="F44" s="243">
        <v>2</v>
      </c>
      <c r="G44" s="879" t="str">
        <f>CONCATENATE(D43," * ",F45," * ",F44)</f>
        <v>37528 * 0,4 * 2</v>
      </c>
      <c r="H44" s="242">
        <f>ROUND(D43*F45*F44,2)</f>
        <v>30022.400000000001</v>
      </c>
    </row>
    <row r="45" spans="1:14" ht="25.5" x14ac:dyDescent="0.2">
      <c r="A45" s="970"/>
      <c r="B45" s="880" t="s">
        <v>476</v>
      </c>
      <c r="C45" s="803">
        <v>15000</v>
      </c>
      <c r="D45" s="2"/>
      <c r="E45" s="790" t="s">
        <v>474</v>
      </c>
      <c r="F45" s="243">
        <v>0.4</v>
      </c>
      <c r="G45" s="244"/>
      <c r="H45" s="245"/>
    </row>
    <row r="46" spans="1:14" ht="13.5" thickBot="1" x14ac:dyDescent="0.25">
      <c r="A46" s="971"/>
      <c r="B46" s="857" t="s">
        <v>11</v>
      </c>
      <c r="C46" s="881">
        <v>880</v>
      </c>
      <c r="D46" s="848"/>
      <c r="E46" s="849"/>
      <c r="F46" s="850"/>
      <c r="G46" s="842"/>
      <c r="H46" s="851"/>
    </row>
    <row r="47" spans="1:14" ht="25.5" x14ac:dyDescent="0.2">
      <c r="A47" s="969">
        <v>7</v>
      </c>
      <c r="B47" s="872" t="s">
        <v>477</v>
      </c>
      <c r="C47" s="873"/>
      <c r="D47" s="860">
        <f>ROUND(C49+C47*C50,2)</f>
        <v>11000</v>
      </c>
      <c r="E47" s="874"/>
      <c r="F47" s="874"/>
      <c r="G47" s="874"/>
      <c r="H47" s="875"/>
    </row>
    <row r="48" spans="1:14" x14ac:dyDescent="0.2">
      <c r="A48" s="970"/>
      <c r="B48" s="843"/>
      <c r="C48" s="882"/>
      <c r="D48" s="256"/>
      <c r="E48" s="878" t="s">
        <v>279</v>
      </c>
      <c r="F48" s="243">
        <v>2</v>
      </c>
      <c r="G48" s="879" t="str">
        <f>CONCATENATE(D47," * ",F49," * ",F48)</f>
        <v>11000 * 0,4 * 2</v>
      </c>
      <c r="H48" s="242">
        <f>ROUND(D47*F49*F48,2)</f>
        <v>8800</v>
      </c>
    </row>
    <row r="49" spans="1:19" ht="25.5" x14ac:dyDescent="0.2">
      <c r="A49" s="970"/>
      <c r="B49" s="880" t="s">
        <v>506</v>
      </c>
      <c r="C49" s="803">
        <v>11000</v>
      </c>
      <c r="D49" s="256"/>
      <c r="E49" s="790" t="s">
        <v>474</v>
      </c>
      <c r="F49" s="243">
        <v>0.4</v>
      </c>
      <c r="G49" s="244"/>
      <c r="H49" s="245"/>
    </row>
    <row r="50" spans="1:19" ht="13.5" thickBot="1" x14ac:dyDescent="0.25">
      <c r="A50" s="971"/>
      <c r="B50" s="857" t="s">
        <v>11</v>
      </c>
      <c r="C50" s="883"/>
      <c r="D50" s="849"/>
      <c r="E50" s="850"/>
      <c r="F50" s="842"/>
      <c r="G50" s="884"/>
      <c r="H50" s="851"/>
    </row>
    <row r="51" spans="1:19" ht="25.5" x14ac:dyDescent="0.2">
      <c r="A51" s="969">
        <v>8</v>
      </c>
      <c r="B51" s="933" t="s">
        <v>526</v>
      </c>
      <c r="C51" s="247">
        <v>80</v>
      </c>
      <c r="D51" s="239">
        <f>ROUND(C53+C54*C51,2)</f>
        <v>24920</v>
      </c>
      <c r="E51" s="789" t="s">
        <v>450</v>
      </c>
      <c r="F51" s="243">
        <v>1.1499999999999999</v>
      </c>
      <c r="G51" s="361" t="str">
        <f>CONCATENATE(D51,"*",F51)</f>
        <v>24920*1,15</v>
      </c>
      <c r="H51" s="240">
        <f>ROUND(D51*F51,2)</f>
        <v>28658</v>
      </c>
    </row>
    <row r="52" spans="1:19" x14ac:dyDescent="0.2">
      <c r="A52" s="970"/>
      <c r="B52" s="843" t="s">
        <v>530</v>
      </c>
      <c r="C52" s="942"/>
      <c r="D52" s="2"/>
      <c r="E52" s="337"/>
      <c r="F52" s="241"/>
      <c r="G52" s="252"/>
      <c r="H52" s="943"/>
    </row>
    <row r="53" spans="1:19" x14ac:dyDescent="0.2">
      <c r="A53" s="970"/>
      <c r="B53" s="934" t="s">
        <v>527</v>
      </c>
      <c r="C53" s="803">
        <v>6200</v>
      </c>
      <c r="D53" s="2"/>
      <c r="E53" s="944"/>
      <c r="F53" s="253"/>
      <c r="G53" s="252"/>
      <c r="H53" s="943"/>
    </row>
    <row r="54" spans="1:19" ht="13.5" thickBot="1" x14ac:dyDescent="0.25">
      <c r="A54" s="971"/>
      <c r="B54" s="945" t="s">
        <v>11</v>
      </c>
      <c r="C54" s="946">
        <v>234</v>
      </c>
      <c r="D54" s="507"/>
      <c r="E54" s="947"/>
      <c r="F54" s="209"/>
      <c r="G54" s="920"/>
      <c r="H54" s="948"/>
    </row>
    <row r="55" spans="1:19" x14ac:dyDescent="0.2">
      <c r="A55" s="972">
        <v>9</v>
      </c>
      <c r="B55" s="975" t="s">
        <v>503</v>
      </c>
      <c r="C55" s="885">
        <f>C17</f>
        <v>100</v>
      </c>
      <c r="D55" s="852">
        <f>ROUND(C57+C55*C58,2)</f>
        <v>21000</v>
      </c>
      <c r="E55" s="844"/>
      <c r="F55" s="845"/>
      <c r="G55" s="846">
        <f>ROUND(D55,2)</f>
        <v>21000</v>
      </c>
      <c r="H55" s="853">
        <f>ROUND(D55,2)</f>
        <v>21000</v>
      </c>
    </row>
    <row r="56" spans="1:19" ht="51" customHeight="1" x14ac:dyDescent="0.2">
      <c r="A56" s="973"/>
      <c r="B56" s="976"/>
      <c r="C56" s="886"/>
      <c r="D56" s="2"/>
      <c r="E56" s="337"/>
      <c r="F56" s="241"/>
      <c r="G56" s="252"/>
      <c r="H56" s="854"/>
    </row>
    <row r="57" spans="1:19" x14ac:dyDescent="0.2">
      <c r="A57" s="973"/>
      <c r="B57" s="934" t="s">
        <v>504</v>
      </c>
      <c r="C57" s="887">
        <v>21000</v>
      </c>
      <c r="D57" s="2"/>
      <c r="E57" s="337"/>
      <c r="F57" s="253"/>
      <c r="G57" s="252"/>
      <c r="H57" s="854"/>
    </row>
    <row r="58" spans="1:19" ht="13.5" thickBot="1" x14ac:dyDescent="0.25">
      <c r="A58" s="974"/>
      <c r="B58" s="855" t="s">
        <v>11</v>
      </c>
      <c r="C58" s="888"/>
      <c r="D58" s="507"/>
      <c r="E58" s="384"/>
      <c r="F58" s="196"/>
      <c r="G58" s="856"/>
      <c r="H58" s="198"/>
    </row>
    <row r="59" spans="1:19" ht="19.5" customHeight="1" thickBot="1" x14ac:dyDescent="0.25">
      <c r="A59" s="808"/>
      <c r="B59" s="981" t="s">
        <v>84</v>
      </c>
      <c r="C59" s="982"/>
      <c r="D59" s="982"/>
      <c r="E59" s="982"/>
      <c r="F59" s="982"/>
      <c r="G59" s="983"/>
      <c r="H59" s="383">
        <f>ROUND(SUM(H16:H58),2)</f>
        <v>563104.4</v>
      </c>
      <c r="K59" s="813" t="s">
        <v>460</v>
      </c>
      <c r="M59" s="3"/>
      <c r="N59" s="813" t="s">
        <v>461</v>
      </c>
    </row>
    <row r="60" spans="1:19" ht="48" thickBot="1" x14ac:dyDescent="0.25">
      <c r="A60" s="24"/>
      <c r="B60" s="984" t="s">
        <v>282</v>
      </c>
      <c r="C60" s="985"/>
      <c r="D60" s="809"/>
      <c r="E60" s="371" t="s">
        <v>256</v>
      </c>
      <c r="F60" s="72">
        <v>0.02</v>
      </c>
      <c r="G60" s="191" t="str">
        <f>CONCATENATE(H59," * ",F60)</f>
        <v>563104,4 * 0,02</v>
      </c>
      <c r="H60" s="34">
        <f>ROUND((H59)*F60,2)</f>
        <v>11262.09</v>
      </c>
      <c r="I60" s="511"/>
      <c r="J60" s="986" t="s">
        <v>462</v>
      </c>
      <c r="K60" s="986"/>
      <c r="L60" s="986"/>
      <c r="M60" s="987" t="s">
        <v>247</v>
      </c>
      <c r="N60" s="987"/>
      <c r="O60" s="987"/>
    </row>
    <row r="61" spans="1:19" ht="17.25" customHeight="1" thickBot="1" x14ac:dyDescent="0.25">
      <c r="A61" s="988" t="s">
        <v>12</v>
      </c>
      <c r="B61" s="989"/>
      <c r="C61" s="989"/>
      <c r="D61" s="989"/>
      <c r="E61" s="989"/>
      <c r="F61" s="989"/>
      <c r="G61" s="989"/>
      <c r="H61" s="990"/>
      <c r="J61" s="991" t="s">
        <v>127</v>
      </c>
      <c r="K61" s="991" t="s">
        <v>128</v>
      </c>
      <c r="L61" s="991"/>
      <c r="M61" s="991" t="s">
        <v>127</v>
      </c>
      <c r="N61" s="991" t="s">
        <v>128</v>
      </c>
      <c r="O61" s="991"/>
      <c r="R61" s="980" t="s">
        <v>463</v>
      </c>
      <c r="S61" s="980"/>
    </row>
    <row r="62" spans="1:19" ht="40.15" customHeight="1" thickBot="1" x14ac:dyDescent="0.25">
      <c r="A62" s="992" t="s">
        <v>464</v>
      </c>
      <c r="B62" s="993"/>
      <c r="C62" s="993"/>
      <c r="D62" s="993"/>
      <c r="E62" s="993"/>
      <c r="F62" s="993"/>
      <c r="G62" s="993"/>
      <c r="H62" s="994"/>
      <c r="I62" s="348"/>
      <c r="J62" s="991"/>
      <c r="K62" s="811" t="s">
        <v>129</v>
      </c>
      <c r="L62" s="811" t="s">
        <v>130</v>
      </c>
      <c r="M62" s="991"/>
      <c r="N62" s="811" t="s">
        <v>129</v>
      </c>
      <c r="O62" s="811" t="s">
        <v>130</v>
      </c>
      <c r="R62" s="980"/>
      <c r="S62" s="980"/>
    </row>
    <row r="63" spans="1:19" ht="13.5" customHeight="1" thickBot="1" x14ac:dyDescent="0.25">
      <c r="A63" s="995"/>
      <c r="B63" s="996"/>
      <c r="C63" s="996"/>
      <c r="D63" s="996"/>
      <c r="E63" s="996"/>
      <c r="F63" s="996"/>
      <c r="G63" s="996"/>
      <c r="H63" s="997"/>
      <c r="J63" s="812" t="s">
        <v>131</v>
      </c>
      <c r="K63" s="812">
        <v>27000</v>
      </c>
      <c r="L63" s="812">
        <v>0</v>
      </c>
      <c r="M63" s="812" t="s">
        <v>131</v>
      </c>
      <c r="N63" s="812">
        <v>48000</v>
      </c>
      <c r="O63" s="812">
        <v>0</v>
      </c>
      <c r="R63" s="980"/>
      <c r="S63" s="980"/>
    </row>
    <row r="64" spans="1:19" ht="36" customHeight="1" thickBot="1" x14ac:dyDescent="0.25">
      <c r="A64" s="814" t="s">
        <v>16</v>
      </c>
      <c r="B64" s="984" t="s">
        <v>2</v>
      </c>
      <c r="C64" s="985"/>
      <c r="D64" s="20" t="s">
        <v>8</v>
      </c>
      <c r="E64" s="21" t="s">
        <v>3</v>
      </c>
      <c r="F64" s="22" t="s">
        <v>4</v>
      </c>
      <c r="G64" s="810" t="s">
        <v>0</v>
      </c>
      <c r="H64" s="815" t="s">
        <v>5</v>
      </c>
      <c r="J64" s="812" t="s">
        <v>132</v>
      </c>
      <c r="K64" s="812">
        <v>2000</v>
      </c>
      <c r="L64" s="812">
        <v>50000</v>
      </c>
      <c r="M64" s="812" t="s">
        <v>132</v>
      </c>
      <c r="N64" s="812">
        <v>2000</v>
      </c>
      <c r="O64" s="812">
        <v>92000</v>
      </c>
      <c r="R64" s="980"/>
      <c r="S64" s="980"/>
    </row>
    <row r="65" spans="1:19" ht="38.25" x14ac:dyDescent="0.2">
      <c r="A65" s="998">
        <v>1</v>
      </c>
      <c r="B65" s="816" t="s">
        <v>465</v>
      </c>
      <c r="C65" s="360">
        <f>C77</f>
        <v>0.1</v>
      </c>
      <c r="D65" s="361">
        <f>ROUND(C66+C67*C65,2)</f>
        <v>27000</v>
      </c>
      <c r="E65" s="362"/>
      <c r="F65" s="363"/>
      <c r="G65" s="817" t="str">
        <f>CONCATENATE(D65,"*","(",F66,"+",F67,"+",F68,"+",F69,"+",F70,"+",F71,")")</f>
        <v>27000*(0,35+0,24+0,2+0,1+0,05+0,06)</v>
      </c>
      <c r="H65" s="818">
        <f>ROUND(D65*(F66+F67+F68+F69+F70+F71),2)</f>
        <v>27000</v>
      </c>
      <c r="J65" s="812" t="s">
        <v>133</v>
      </c>
      <c r="K65" s="812">
        <v>8000</v>
      </c>
      <c r="L65" s="812">
        <v>44000</v>
      </c>
      <c r="M65" s="812" t="s">
        <v>133</v>
      </c>
      <c r="N65" s="812">
        <v>5500</v>
      </c>
      <c r="O65" s="812">
        <v>88500</v>
      </c>
      <c r="P65" s="819" t="s">
        <v>318</v>
      </c>
      <c r="R65" s="980"/>
      <c r="S65" s="980"/>
    </row>
    <row r="66" spans="1:19" ht="25.5" customHeight="1" x14ac:dyDescent="0.2">
      <c r="A66" s="999"/>
      <c r="B66" s="820" t="s">
        <v>6</v>
      </c>
      <c r="C66" s="821">
        <f>IF($C65&lt;=0.5,K63,IF($C65&lt;=1,K64,IF($C65&lt;=5,K65,IF($C65&lt;=10,K66,K67))))</f>
        <v>27000</v>
      </c>
      <c r="D66" s="822"/>
      <c r="E66" s="823" t="s">
        <v>466</v>
      </c>
      <c r="F66" s="824">
        <v>0.35</v>
      </c>
      <c r="G66" s="825"/>
      <c r="H66" s="826"/>
      <c r="I66" s="508"/>
      <c r="J66" s="812" t="s">
        <v>134</v>
      </c>
      <c r="K66" s="812">
        <v>27000</v>
      </c>
      <c r="L66" s="812">
        <v>40200</v>
      </c>
      <c r="M66" s="812" t="s">
        <v>134</v>
      </c>
      <c r="N66" s="812">
        <v>93000</v>
      </c>
      <c r="O66" s="812">
        <v>71000</v>
      </c>
      <c r="P66" s="824">
        <v>0.38</v>
      </c>
      <c r="R66" s="980"/>
      <c r="S66" s="980"/>
    </row>
    <row r="67" spans="1:19" ht="26.25" customHeight="1" x14ac:dyDescent="0.2">
      <c r="A67" s="999"/>
      <c r="B67" s="382" t="s">
        <v>7</v>
      </c>
      <c r="C67" s="821">
        <f>IF($C65&lt;=0.5,L63,IF($C65&lt;=1,L64,IF($C65&lt;=5,L65,IF($C65&lt;=10,L66,IF($C65&gt;10,L67,)))))</f>
        <v>0</v>
      </c>
      <c r="D67" s="238"/>
      <c r="E67" s="827" t="s">
        <v>467</v>
      </c>
      <c r="F67" s="828">
        <v>0.24</v>
      </c>
      <c r="G67" s="26"/>
      <c r="H67" s="238"/>
      <c r="I67" s="508"/>
      <c r="J67" s="812" t="s">
        <v>468</v>
      </c>
      <c r="K67" s="812">
        <v>429000</v>
      </c>
      <c r="L67" s="812">
        <v>0</v>
      </c>
      <c r="M67" s="812" t="s">
        <v>135</v>
      </c>
      <c r="N67" s="812">
        <v>227000</v>
      </c>
      <c r="O67" s="812">
        <v>57600</v>
      </c>
      <c r="P67" s="828">
        <v>0.21</v>
      </c>
    </row>
    <row r="68" spans="1:19" ht="24" x14ac:dyDescent="0.2">
      <c r="A68" s="999"/>
      <c r="B68" s="829"/>
      <c r="C68" s="830"/>
      <c r="D68" s="2"/>
      <c r="E68" s="831" t="s">
        <v>469</v>
      </c>
      <c r="F68" s="828">
        <v>0.2</v>
      </c>
      <c r="G68" s="829"/>
      <c r="H68" s="238"/>
      <c r="I68" s="213"/>
      <c r="M68" s="812" t="s">
        <v>136</v>
      </c>
      <c r="N68" s="812">
        <v>281000</v>
      </c>
      <c r="O68" s="812">
        <v>54000</v>
      </c>
      <c r="P68" s="828">
        <v>0.2</v>
      </c>
    </row>
    <row r="69" spans="1:19" x14ac:dyDescent="0.2">
      <c r="A69" s="999"/>
      <c r="B69" s="829"/>
      <c r="C69" s="832"/>
      <c r="D69" s="2"/>
      <c r="E69" s="833" t="s">
        <v>470</v>
      </c>
      <c r="F69" s="828">
        <v>0.1</v>
      </c>
      <c r="G69" s="829"/>
      <c r="H69" s="238"/>
      <c r="I69" s="213"/>
      <c r="M69" s="812" t="s">
        <v>137</v>
      </c>
      <c r="N69" s="812">
        <v>361000</v>
      </c>
      <c r="O69" s="812">
        <v>50000</v>
      </c>
      <c r="P69" s="828">
        <v>0.1</v>
      </c>
    </row>
    <row r="70" spans="1:19" x14ac:dyDescent="0.2">
      <c r="A70" s="999"/>
      <c r="B70" s="829"/>
      <c r="C70" s="832"/>
      <c r="D70" s="2"/>
      <c r="E70" s="833" t="s">
        <v>471</v>
      </c>
      <c r="F70" s="828">
        <v>0.05</v>
      </c>
      <c r="G70" s="829"/>
      <c r="H70" s="238"/>
      <c r="I70" s="348"/>
      <c r="M70" s="812" t="s">
        <v>138</v>
      </c>
      <c r="N70" s="812">
        <v>700000</v>
      </c>
      <c r="O70" s="812">
        <v>38700</v>
      </c>
      <c r="P70" s="828">
        <v>0.05</v>
      </c>
    </row>
    <row r="71" spans="1:19" ht="20.25" customHeight="1" thickBot="1" x14ac:dyDescent="0.25">
      <c r="A71" s="1000"/>
      <c r="B71" s="834"/>
      <c r="C71" s="835"/>
      <c r="D71" s="836"/>
      <c r="E71" s="837" t="s">
        <v>472</v>
      </c>
      <c r="F71" s="838">
        <v>0.06</v>
      </c>
      <c r="G71" s="834"/>
      <c r="H71" s="839"/>
      <c r="I71" s="213"/>
      <c r="M71" s="812" t="s">
        <v>139</v>
      </c>
      <c r="N71" s="812">
        <v>2248000</v>
      </c>
      <c r="O71" s="812">
        <v>0</v>
      </c>
      <c r="P71" s="838">
        <v>0.06</v>
      </c>
    </row>
    <row r="72" spans="1:19" ht="26.25" customHeight="1" thickBot="1" x14ac:dyDescent="0.25">
      <c r="A72" s="27"/>
      <c r="B72" s="28" t="s">
        <v>17</v>
      </c>
      <c r="C72" s="29"/>
      <c r="D72" s="30"/>
      <c r="E72" s="31"/>
      <c r="F72" s="32"/>
      <c r="G72" s="33"/>
      <c r="H72" s="34">
        <f>H65</f>
        <v>27000</v>
      </c>
      <c r="I72" s="213"/>
      <c r="M72" s="3"/>
      <c r="N72" s="3"/>
    </row>
    <row r="73" spans="1:19" ht="13.5" thickBot="1" x14ac:dyDescent="0.25">
      <c r="A73" s="1014" t="s">
        <v>9</v>
      </c>
      <c r="B73" s="1015"/>
      <c r="C73" s="1015"/>
      <c r="D73" s="1015"/>
      <c r="E73" s="1015"/>
      <c r="F73" s="1015"/>
      <c r="G73" s="1015"/>
      <c r="H73" s="1016"/>
      <c r="I73" s="213"/>
      <c r="J73" s="1011"/>
      <c r="K73" s="1011"/>
      <c r="L73" s="840"/>
      <c r="M73" s="840"/>
      <c r="N73" s="840"/>
      <c r="P73" s="841"/>
      <c r="Q73" s="840"/>
      <c r="R73" s="840"/>
    </row>
    <row r="74" spans="1:19" ht="33.75" customHeight="1" thickBot="1" x14ac:dyDescent="0.25">
      <c r="A74" s="992" t="s">
        <v>257</v>
      </c>
      <c r="B74" s="993"/>
      <c r="C74" s="993"/>
      <c r="D74" s="993"/>
      <c r="E74" s="993"/>
      <c r="F74" s="993"/>
      <c r="G74" s="993"/>
      <c r="H74" s="994"/>
      <c r="I74" s="348"/>
      <c r="J74" s="1011"/>
      <c r="K74" s="1011"/>
      <c r="L74" s="840"/>
      <c r="M74" s="840"/>
      <c r="N74" s="840"/>
    </row>
    <row r="75" spans="1:19" ht="20.25" customHeight="1" x14ac:dyDescent="0.2">
      <c r="A75" s="35"/>
      <c r="B75" s="36" t="s">
        <v>74</v>
      </c>
      <c r="C75" s="339">
        <f>C55</f>
        <v>100</v>
      </c>
      <c r="D75" s="37" t="s">
        <v>14</v>
      </c>
      <c r="E75" s="38"/>
      <c r="F75" s="38"/>
      <c r="G75" s="38"/>
      <c r="H75" s="217"/>
      <c r="I75" s="213"/>
      <c r="J75" s="1011"/>
      <c r="K75" s="1011"/>
      <c r="L75" s="840"/>
      <c r="M75" s="840"/>
      <c r="N75" s="840"/>
    </row>
    <row r="76" spans="1:19" ht="26.25" customHeight="1" x14ac:dyDescent="0.2">
      <c r="A76" s="39"/>
      <c r="B76" s="40" t="s">
        <v>113</v>
      </c>
      <c r="C76" s="340">
        <f>ROUND(C75*10,2)</f>
        <v>1000</v>
      </c>
      <c r="D76" s="41" t="s">
        <v>114</v>
      </c>
      <c r="E76" s="42"/>
      <c r="F76" s="42"/>
      <c r="G76" s="42"/>
      <c r="H76" s="218"/>
      <c r="I76" s="213"/>
      <c r="J76" s="3"/>
      <c r="K76" s="3"/>
      <c r="L76" s="3"/>
      <c r="M76" s="3"/>
      <c r="N76" s="3"/>
    </row>
    <row r="77" spans="1:19" ht="20.25" customHeight="1" thickBot="1" x14ac:dyDescent="0.25">
      <c r="A77" s="43"/>
      <c r="B77" s="44" t="s">
        <v>113</v>
      </c>
      <c r="C77" s="341">
        <f>ROUND(C76/10000,3)</f>
        <v>0.1</v>
      </c>
      <c r="D77" s="45" t="s">
        <v>15</v>
      </c>
      <c r="E77" s="46"/>
      <c r="F77" s="46"/>
      <c r="G77" s="46"/>
      <c r="H77" s="219"/>
      <c r="I77" s="213"/>
      <c r="J77" s="3"/>
      <c r="K77" s="3"/>
      <c r="L77" s="3"/>
      <c r="M77" s="3"/>
      <c r="N77" s="3"/>
    </row>
    <row r="78" spans="1:19" ht="26.25" customHeight="1" x14ac:dyDescent="0.2">
      <c r="A78" s="47"/>
      <c r="B78" s="1013" t="s">
        <v>95</v>
      </c>
      <c r="C78" s="1013"/>
      <c r="D78" s="1013"/>
      <c r="E78" s="48"/>
      <c r="F78" s="49"/>
      <c r="G78" s="50" t="s">
        <v>13</v>
      </c>
      <c r="H78" s="235"/>
      <c r="I78" s="213"/>
      <c r="J78" s="1005" t="s">
        <v>141</v>
      </c>
      <c r="K78" s="1006"/>
      <c r="L78" s="1006"/>
      <c r="M78" s="1006"/>
      <c r="N78" s="1007"/>
      <c r="O78" s="54"/>
      <c r="P78" s="54"/>
      <c r="Q78" s="54"/>
      <c r="R78" s="54"/>
    </row>
    <row r="79" spans="1:19" s="54" customFormat="1" ht="39" customHeight="1" x14ac:dyDescent="0.2">
      <c r="A79" s="51">
        <v>1</v>
      </c>
      <c r="B79" s="315" t="s">
        <v>224</v>
      </c>
      <c r="C79" s="316"/>
      <c r="D79" s="52">
        <v>2038</v>
      </c>
      <c r="E79" s="379" t="s">
        <v>226</v>
      </c>
      <c r="F79" s="787">
        <f>IF(C77&lt;=0.5,0.75,IF(C77&lt;=1,0.85,IF(C77&gt;1,C77,"много")))</f>
        <v>0.75</v>
      </c>
      <c r="G79" s="53" t="str">
        <f>CONCATENATE(D79,"*",F79)</f>
        <v>2038*0,75</v>
      </c>
      <c r="H79" s="236">
        <f>ROUND(D79*F79,2)</f>
        <v>1528.5</v>
      </c>
      <c r="I79" s="214"/>
      <c r="J79" s="1008" t="s">
        <v>140</v>
      </c>
      <c r="K79" s="1009"/>
      <c r="L79" s="1009"/>
      <c r="M79" s="1009"/>
      <c r="N79" s="1010"/>
    </row>
    <row r="80" spans="1:19" s="54" customFormat="1" ht="39" customHeight="1" x14ac:dyDescent="0.2">
      <c r="A80" s="51">
        <v>2</v>
      </c>
      <c r="B80" s="315" t="s">
        <v>225</v>
      </c>
      <c r="C80" s="316"/>
      <c r="D80" s="52">
        <v>8099</v>
      </c>
      <c r="E80" s="379" t="s">
        <v>228</v>
      </c>
      <c r="F80" s="787">
        <f>IF(C77&lt;=0.5,0.75,IF(C76/10000&lt;=1,0.85,IF(C77&gt;1,C77,"много")))</f>
        <v>0.75</v>
      </c>
      <c r="G80" s="53" t="str">
        <f>CONCATENATE(D80,"*",F80)</f>
        <v>8099*0,75</v>
      </c>
      <c r="H80" s="236">
        <f>ROUND(D80*F80,2)</f>
        <v>6074.25</v>
      </c>
      <c r="I80" s="214"/>
      <c r="J80" s="1008" t="s">
        <v>142</v>
      </c>
      <c r="K80" s="1009"/>
      <c r="L80" s="1009"/>
      <c r="M80" s="1009"/>
      <c r="N80" s="1010"/>
      <c r="O80" s="55"/>
      <c r="P80" s="55"/>
      <c r="Q80" s="55"/>
      <c r="R80" s="55"/>
    </row>
    <row r="81" spans="1:19" s="55" customFormat="1" ht="39" customHeight="1" x14ac:dyDescent="0.2">
      <c r="A81" s="51">
        <v>3</v>
      </c>
      <c r="B81" s="315" t="s">
        <v>227</v>
      </c>
      <c r="C81" s="316"/>
      <c r="D81" s="52">
        <v>2038</v>
      </c>
      <c r="E81" s="379" t="s">
        <v>230</v>
      </c>
      <c r="F81" s="787">
        <f>IF(C77&lt;=0.5,0.75,IF(C76/10000&lt;=1,0.85,IF(C77&gt;1,C77,"много")))</f>
        <v>0.75</v>
      </c>
      <c r="G81" s="53" t="str">
        <f>CONCATENATE(D81,"*",F81)</f>
        <v>2038*0,75</v>
      </c>
      <c r="H81" s="236">
        <f>ROUND(D81*F81,2)</f>
        <v>1528.5</v>
      </c>
      <c r="I81" s="215"/>
      <c r="J81" s="1002" t="s">
        <v>143</v>
      </c>
      <c r="K81" s="1003"/>
      <c r="L81" s="1003"/>
      <c r="M81" s="1003"/>
      <c r="N81" s="1004"/>
    </row>
    <row r="82" spans="1:19" s="55" customFormat="1" ht="39" customHeight="1" x14ac:dyDescent="0.2">
      <c r="A82" s="51">
        <v>4</v>
      </c>
      <c r="B82" s="315" t="s">
        <v>229</v>
      </c>
      <c r="C82" s="316"/>
      <c r="D82" s="52">
        <v>2495</v>
      </c>
      <c r="E82" s="379" t="s">
        <v>232</v>
      </c>
      <c r="F82" s="787">
        <f>IF(C77&lt;=0.5,0.75,IF(C76/10000&lt;=1,0.85,IF(C77&gt;1,C77,"много")))</f>
        <v>0.75</v>
      </c>
      <c r="G82" s="53" t="str">
        <f>CONCATENATE(D82,"*",F82)</f>
        <v>2495*0,75</v>
      </c>
      <c r="H82" s="236">
        <f>ROUND(D82*F82,2)</f>
        <v>1871.25</v>
      </c>
      <c r="I82" s="215"/>
      <c r="J82" s="1001" t="s">
        <v>144</v>
      </c>
      <c r="K82" s="1001"/>
      <c r="L82" s="1001"/>
      <c r="M82" s="1001"/>
      <c r="N82" s="1001"/>
      <c r="O82" s="1001"/>
      <c r="P82" s="1001"/>
      <c r="Q82" s="1001"/>
      <c r="R82" s="1001"/>
      <c r="S82" s="1001"/>
    </row>
    <row r="83" spans="1:19" s="55" customFormat="1" ht="39" customHeight="1" thickBot="1" x14ac:dyDescent="0.25">
      <c r="A83" s="56">
        <v>5</v>
      </c>
      <c r="B83" s="317" t="s">
        <v>231</v>
      </c>
      <c r="C83" s="318"/>
      <c r="D83" s="57">
        <v>4074</v>
      </c>
      <c r="E83" s="379" t="s">
        <v>248</v>
      </c>
      <c r="F83" s="787">
        <f>IF(C77&lt;=0.5,0.75,IF(C76/10000&lt;=1,0.85,IF(C77&gt;1,C77,"много")))</f>
        <v>0.75</v>
      </c>
      <c r="G83" s="53" t="str">
        <f>CONCATENATE(D83,"*",F83)</f>
        <v>4074*0,75</v>
      </c>
      <c r="H83" s="236">
        <f>ROUND(D83*F83,2)</f>
        <v>3055.5</v>
      </c>
      <c r="I83" s="215"/>
      <c r="J83" s="67"/>
      <c r="K83" s="60"/>
      <c r="L83" s="60"/>
      <c r="M83" s="60"/>
      <c r="N83" s="60"/>
      <c r="O83" s="61"/>
      <c r="P83" s="61"/>
      <c r="Q83" s="61"/>
      <c r="R83" s="61"/>
    </row>
    <row r="84" spans="1:19" s="61" customFormat="1" ht="24.75" customHeight="1" thickBot="1" x14ac:dyDescent="0.25">
      <c r="A84" s="58"/>
      <c r="B84" s="1017" t="s">
        <v>10</v>
      </c>
      <c r="C84" s="1018"/>
      <c r="D84" s="1018"/>
      <c r="E84" s="1018"/>
      <c r="F84" s="1018"/>
      <c r="G84" s="1019"/>
      <c r="H84" s="59">
        <f>ROUND(H79+H80+H81+H82+H83,2)</f>
        <v>14058</v>
      </c>
      <c r="I84" s="216"/>
      <c r="J84" s="184" t="s">
        <v>156</v>
      </c>
      <c r="K84" s="66"/>
      <c r="L84" s="66"/>
      <c r="M84" s="66"/>
      <c r="N84" s="66"/>
      <c r="O84" s="68"/>
      <c r="P84" s="69"/>
      <c r="Q84" s="70"/>
      <c r="R84" s="71"/>
    </row>
    <row r="85" spans="1:19" s="66" customFormat="1" ht="24.75" customHeight="1" thickBot="1" x14ac:dyDescent="0.25">
      <c r="A85" s="62"/>
      <c r="B85" s="63" t="s">
        <v>85</v>
      </c>
      <c r="C85" s="64"/>
      <c r="D85" s="65"/>
      <c r="E85" s="65"/>
      <c r="F85" s="65"/>
      <c r="G85" s="65"/>
      <c r="H85" s="34">
        <f>ROUND(H59+H60+H72+H84,2)</f>
        <v>615424.49</v>
      </c>
      <c r="I85" s="183">
        <f>ROUND(H59+H72+H84,2)</f>
        <v>604162.4</v>
      </c>
      <c r="O85" s="68"/>
      <c r="P85" s="69"/>
      <c r="Q85" s="70"/>
      <c r="R85" s="71"/>
    </row>
    <row r="86" spans="1:19" s="66" customFormat="1" ht="39.75" hidden="1" customHeight="1" thickBot="1" x14ac:dyDescent="0.25">
      <c r="A86" s="24"/>
      <c r="B86" s="1012" t="s">
        <v>94</v>
      </c>
      <c r="C86" s="1012"/>
      <c r="D86" s="1012"/>
      <c r="E86" s="25" t="s">
        <v>115</v>
      </c>
      <c r="F86" s="72">
        <v>1</v>
      </c>
      <c r="G86" s="72" t="str">
        <f>CONCATENATE(H85," х ",F86)</f>
        <v>615424,49 х 1</v>
      </c>
      <c r="H86" s="34">
        <f>ROUND(H85*F86,2)</f>
        <v>615424.49</v>
      </c>
      <c r="I86" s="184"/>
      <c r="O86" s="68"/>
      <c r="P86" s="69"/>
      <c r="Q86" s="70"/>
      <c r="R86" s="71"/>
    </row>
    <row r="87" spans="1:19" s="66" customFormat="1" x14ac:dyDescent="0.2">
      <c r="A87" s="73"/>
      <c r="B87" s="74"/>
      <c r="C87" s="75"/>
      <c r="D87" s="74"/>
      <c r="E87" s="18"/>
      <c r="F87" s="76"/>
      <c r="G87" s="6"/>
      <c r="H87" s="77"/>
      <c r="I87" s="184"/>
      <c r="O87" s="68"/>
      <c r="P87" s="69"/>
      <c r="Q87" s="70"/>
      <c r="R87" s="71"/>
    </row>
    <row r="88" spans="1:19" s="66" customFormat="1" x14ac:dyDescent="0.2">
      <c r="A88" s="73"/>
      <c r="B88" s="74"/>
      <c r="C88" s="75"/>
      <c r="D88" s="74"/>
      <c r="E88" s="18"/>
      <c r="F88" s="76"/>
      <c r="G88" s="6"/>
      <c r="H88" s="77"/>
      <c r="I88" s="184"/>
      <c r="O88" s="68"/>
      <c r="P88" s="69"/>
      <c r="Q88" s="70"/>
      <c r="R88" s="71"/>
    </row>
    <row r="89" spans="1:19" s="708" customFormat="1" ht="15" x14ac:dyDescent="0.2">
      <c r="A89" s="617"/>
      <c r="B89" s="704"/>
      <c r="C89" s="705"/>
      <c r="D89" s="706"/>
      <c r="E89" s="707"/>
    </row>
    <row r="90" spans="1:19" s="708" customFormat="1" ht="15" x14ac:dyDescent="0.2">
      <c r="A90" s="617"/>
      <c r="B90" s="704"/>
      <c r="C90" s="705"/>
      <c r="D90" s="706"/>
      <c r="E90" s="707"/>
    </row>
    <row r="91" spans="1:19" s="708" customFormat="1" ht="15" x14ac:dyDescent="0.2">
      <c r="A91" s="617"/>
      <c r="B91" s="704"/>
      <c r="C91" s="705"/>
      <c r="D91" s="706"/>
      <c r="E91" s="707"/>
    </row>
    <row r="92" spans="1:19" s="616" customFormat="1" ht="15" x14ac:dyDescent="0.2">
      <c r="A92" s="617"/>
      <c r="B92" s="490"/>
      <c r="C92" s="490"/>
      <c r="D92" s="490"/>
      <c r="G92" s="504"/>
    </row>
    <row r="93" spans="1:19" s="618" customFormat="1" ht="15" x14ac:dyDescent="0.2">
      <c r="A93" s="617"/>
      <c r="B93" s="502"/>
      <c r="C93" s="502"/>
      <c r="D93" s="502"/>
      <c r="F93" s="510"/>
      <c r="G93" s="504"/>
    </row>
    <row r="94" spans="1:19" s="618" customFormat="1" ht="15" x14ac:dyDescent="0.2">
      <c r="A94" s="617"/>
      <c r="B94" s="502"/>
      <c r="C94" s="502"/>
      <c r="D94" s="502"/>
      <c r="F94" s="510"/>
      <c r="G94" s="504"/>
    </row>
    <row r="95" spans="1:19" s="617" customFormat="1" ht="15" x14ac:dyDescent="0.2">
      <c r="A95" s="616"/>
      <c r="B95" s="490"/>
      <c r="C95" s="490"/>
      <c r="D95" s="490"/>
      <c r="G95" s="619"/>
    </row>
    <row r="96" spans="1:19" s="617" customFormat="1" ht="15" x14ac:dyDescent="0.2">
      <c r="A96" s="616"/>
      <c r="B96" s="490"/>
      <c r="C96" s="490"/>
      <c r="D96" s="490"/>
      <c r="G96" s="504"/>
    </row>
    <row r="97" spans="1:5" s="617" customFormat="1" ht="15" x14ac:dyDescent="0.2">
      <c r="A97" s="616"/>
      <c r="B97" s="710"/>
      <c r="C97" s="710"/>
      <c r="D97" s="711"/>
      <c r="E97" s="712"/>
    </row>
    <row r="98" spans="1:5" s="617" customFormat="1" ht="15" x14ac:dyDescent="0.2">
      <c r="A98" s="616"/>
      <c r="B98" s="710"/>
      <c r="C98" s="710"/>
      <c r="D98" s="711"/>
      <c r="E98" s="713"/>
    </row>
    <row r="99" spans="1:5" s="617" customFormat="1" ht="15" x14ac:dyDescent="0.2">
      <c r="A99" s="616"/>
      <c r="B99" s="710"/>
      <c r="C99" s="710"/>
      <c r="D99" s="711"/>
      <c r="E99" s="712"/>
    </row>
    <row r="100" spans="1:5" s="445" customFormat="1" ht="15" x14ac:dyDescent="0.2">
      <c r="A100" s="617"/>
      <c r="B100" s="704"/>
      <c r="C100" s="705"/>
      <c r="D100" s="706"/>
      <c r="E100" s="707"/>
    </row>
  </sheetData>
  <mergeCells count="48">
    <mergeCell ref="A24:A26"/>
    <mergeCell ref="I11:P11"/>
    <mergeCell ref="B15:H15"/>
    <mergeCell ref="A16:H16"/>
    <mergeCell ref="A17:A23"/>
    <mergeCell ref="A6:H6"/>
    <mergeCell ref="A8:H8"/>
    <mergeCell ref="A11:H11"/>
    <mergeCell ref="A12:H12"/>
    <mergeCell ref="B14:C14"/>
    <mergeCell ref="A9:H9"/>
    <mergeCell ref="A10:H10"/>
    <mergeCell ref="B86:D86"/>
    <mergeCell ref="A74:H74"/>
    <mergeCell ref="B78:D78"/>
    <mergeCell ref="A73:H73"/>
    <mergeCell ref="B84:G84"/>
    <mergeCell ref="J82:S82"/>
    <mergeCell ref="J81:N81"/>
    <mergeCell ref="J78:N78"/>
    <mergeCell ref="J80:N80"/>
    <mergeCell ref="J73:J75"/>
    <mergeCell ref="K73:K75"/>
    <mergeCell ref="J79:N79"/>
    <mergeCell ref="R61:S66"/>
    <mergeCell ref="B59:G59"/>
    <mergeCell ref="B60:C60"/>
    <mergeCell ref="J60:L60"/>
    <mergeCell ref="M60:O60"/>
    <mergeCell ref="A61:H61"/>
    <mergeCell ref="J61:J62"/>
    <mergeCell ref="K61:L61"/>
    <mergeCell ref="M61:M62"/>
    <mergeCell ref="N61:O61"/>
    <mergeCell ref="A62:H62"/>
    <mergeCell ref="A63:H63"/>
    <mergeCell ref="B64:C64"/>
    <mergeCell ref="A65:A71"/>
    <mergeCell ref="A51:A54"/>
    <mergeCell ref="A55:A58"/>
    <mergeCell ref="B55:B56"/>
    <mergeCell ref="A34:A37"/>
    <mergeCell ref="A27:H27"/>
    <mergeCell ref="A29:A32"/>
    <mergeCell ref="A43:A46"/>
    <mergeCell ref="A47:A50"/>
    <mergeCell ref="A38:H38"/>
    <mergeCell ref="A39:A42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view="pageBreakPreview" topLeftCell="A23" zoomScale="70" zoomScaleNormal="150" zoomScaleSheetLayoutView="70" workbookViewId="0">
      <selection activeCell="B41" sqref="B41:G54"/>
    </sheetView>
  </sheetViews>
  <sheetFormatPr defaultColWidth="9.140625" defaultRowHeight="12.75" x14ac:dyDescent="0.2"/>
  <cols>
    <col min="1" max="1" width="4.85546875" style="155" customWidth="1"/>
    <col min="2" max="2" width="44" style="155" customWidth="1"/>
    <col min="3" max="3" width="22.7109375" style="155" customWidth="1"/>
    <col min="4" max="4" width="11" style="156" customWidth="1"/>
    <col min="5" max="5" width="11" style="155" customWidth="1"/>
    <col min="6" max="6" width="11" style="157" customWidth="1"/>
    <col min="7" max="7" width="18" style="155" customWidth="1"/>
    <col min="8" max="16384" width="9.140625" style="121"/>
  </cols>
  <sheetData>
    <row r="1" spans="1:7" s="116" customFormat="1" ht="18" customHeight="1" x14ac:dyDescent="0.2">
      <c r="E1" s="117"/>
      <c r="F1" s="117" t="s">
        <v>22</v>
      </c>
      <c r="G1" s="117"/>
    </row>
    <row r="2" spans="1:7" s="120" customFormat="1" ht="18" customHeight="1" x14ac:dyDescent="0.2">
      <c r="A2" s="116"/>
      <c r="B2" s="116"/>
      <c r="C2" s="116"/>
      <c r="E2" s="118"/>
      <c r="F2" s="9" t="s">
        <v>82</v>
      </c>
      <c r="G2" s="119"/>
    </row>
    <row r="3" spans="1:7" s="116" customFormat="1" ht="18" customHeight="1" x14ac:dyDescent="0.2">
      <c r="E3" s="118"/>
      <c r="F3" s="9" t="s">
        <v>89</v>
      </c>
      <c r="G3" s="119"/>
    </row>
    <row r="5" spans="1:7" ht="14.25" x14ac:dyDescent="0.2">
      <c r="A5" s="1031" t="s">
        <v>262</v>
      </c>
      <c r="B5" s="1031"/>
      <c r="C5" s="1031"/>
      <c r="D5" s="1031"/>
      <c r="E5" s="1031"/>
      <c r="F5" s="1031"/>
      <c r="G5" s="1031"/>
    </row>
    <row r="6" spans="1:7" ht="14.25" x14ac:dyDescent="0.2">
      <c r="A6" s="205"/>
      <c r="B6" s="205"/>
      <c r="C6" s="205"/>
      <c r="D6" s="205"/>
      <c r="E6" s="205"/>
      <c r="F6" s="205"/>
      <c r="G6" s="205"/>
    </row>
    <row r="7" spans="1:7" ht="87.75" customHeight="1" x14ac:dyDescent="0.2">
      <c r="A7" s="1032" t="str">
        <f>'С С Р'!A6:G6</f>
        <v>Выполнение изыскательских работ, разработка проектной документации, рабочей документации и на их основе составление сметы на строительство тепловой сети для осуществления подключения объекта капитального строительства «Школа на 800 мест», расположенного по адресам: г. Москва, ш. Дмитровское, вл.107; г. Москва, ш. Дмитровское, вл.107, стр.11А</v>
      </c>
      <c r="B7" s="1033"/>
      <c r="C7" s="1033"/>
      <c r="D7" s="1033"/>
      <c r="E7" s="1033"/>
      <c r="F7" s="1033"/>
      <c r="G7" s="1033"/>
    </row>
    <row r="8" spans="1:7" x14ac:dyDescent="0.2">
      <c r="A8" s="122"/>
      <c r="B8" s="122"/>
      <c r="C8" s="123"/>
      <c r="D8" s="122"/>
      <c r="E8" s="122"/>
      <c r="F8" s="122"/>
      <c r="G8" s="122"/>
    </row>
    <row r="9" spans="1:7" ht="20.25" customHeight="1" x14ac:dyDescent="0.2">
      <c r="A9" s="1038" t="s">
        <v>91</v>
      </c>
      <c r="B9" s="1038"/>
      <c r="C9" s="1038"/>
      <c r="D9" s="1038"/>
      <c r="E9" s="1038"/>
      <c r="F9" s="1038"/>
      <c r="G9" s="1038"/>
    </row>
    <row r="10" spans="1:7" ht="33.75" customHeight="1" x14ac:dyDescent="0.2">
      <c r="A10" s="1034" t="s">
        <v>86</v>
      </c>
      <c r="B10" s="1034"/>
      <c r="C10" s="1034"/>
      <c r="D10" s="1034"/>
      <c r="E10" s="1034"/>
      <c r="F10" s="1034"/>
      <c r="G10" s="1034"/>
    </row>
    <row r="11" spans="1:7" ht="10.5" customHeight="1" thickBot="1" x14ac:dyDescent="0.25">
      <c r="A11" s="206"/>
      <c r="B11" s="206"/>
      <c r="C11" s="206"/>
      <c r="D11" s="206"/>
      <c r="E11" s="206"/>
      <c r="F11" s="206"/>
      <c r="G11" s="206"/>
    </row>
    <row r="12" spans="1:7" ht="77.25" thickBot="1" x14ac:dyDescent="0.25">
      <c r="A12" s="390" t="s">
        <v>23</v>
      </c>
      <c r="B12" s="391" t="s">
        <v>24</v>
      </c>
      <c r="C12" s="391" t="s">
        <v>88</v>
      </c>
      <c r="D12" s="392" t="s">
        <v>87</v>
      </c>
      <c r="E12" s="391" t="s">
        <v>25</v>
      </c>
      <c r="F12" s="391" t="s">
        <v>26</v>
      </c>
      <c r="G12" s="393" t="s">
        <v>27</v>
      </c>
    </row>
    <row r="13" spans="1:7" ht="18" customHeight="1" x14ac:dyDescent="0.2">
      <c r="A13" s="1035" t="s">
        <v>28</v>
      </c>
      <c r="B13" s="1036"/>
      <c r="C13" s="1036"/>
      <c r="D13" s="1036"/>
      <c r="E13" s="1036"/>
      <c r="F13" s="1036"/>
      <c r="G13" s="1037"/>
    </row>
    <row r="14" spans="1:7" ht="16.5" customHeight="1" x14ac:dyDescent="0.2">
      <c r="A14" s="385"/>
      <c r="B14" s="124" t="s">
        <v>29</v>
      </c>
      <c r="C14" s="124"/>
      <c r="D14" s="125"/>
      <c r="E14" s="124" t="s">
        <v>30</v>
      </c>
      <c r="F14" s="126">
        <f>Т.с.!C75</f>
        <v>100</v>
      </c>
      <c r="G14" s="386"/>
    </row>
    <row r="15" spans="1:7" ht="25.5" x14ac:dyDescent="0.2">
      <c r="A15" s="385"/>
      <c r="B15" s="127" t="s">
        <v>31</v>
      </c>
      <c r="C15" s="124"/>
      <c r="D15" s="125"/>
      <c r="E15" s="124"/>
      <c r="F15" s="128"/>
      <c r="G15" s="386"/>
    </row>
    <row r="16" spans="1:7" ht="17.25" customHeight="1" x14ac:dyDescent="0.2">
      <c r="A16" s="385"/>
      <c r="B16" s="124" t="s">
        <v>32</v>
      </c>
      <c r="C16" s="124" t="s">
        <v>33</v>
      </c>
      <c r="D16" s="125">
        <v>522</v>
      </c>
      <c r="E16" s="124"/>
      <c r="F16" s="221">
        <f>F14</f>
        <v>100</v>
      </c>
      <c r="G16" s="387">
        <f>D16*F16</f>
        <v>52200</v>
      </c>
    </row>
    <row r="17" spans="1:7" ht="25.5" x14ac:dyDescent="0.2">
      <c r="A17" s="385"/>
      <c r="B17" s="127" t="s">
        <v>34</v>
      </c>
      <c r="C17" s="124" t="s">
        <v>35</v>
      </c>
      <c r="D17" s="125">
        <v>1.1499999999999999</v>
      </c>
      <c r="E17" s="124"/>
      <c r="F17" s="128"/>
      <c r="G17" s="388">
        <f>G16*1.15</f>
        <v>60029.999999999993</v>
      </c>
    </row>
    <row r="18" spans="1:7" ht="16.5" customHeight="1" x14ac:dyDescent="0.2">
      <c r="A18" s="385"/>
      <c r="B18" s="129" t="s">
        <v>36</v>
      </c>
      <c r="C18" s="124"/>
      <c r="D18" s="125"/>
      <c r="E18" s="124"/>
      <c r="F18" s="128"/>
      <c r="G18" s="389">
        <f>G17</f>
        <v>60029.999999999993</v>
      </c>
    </row>
    <row r="19" spans="1:7" ht="51" hidden="1" x14ac:dyDescent="0.2">
      <c r="A19" s="385"/>
      <c r="B19" s="129" t="s">
        <v>37</v>
      </c>
      <c r="C19" s="131" t="s">
        <v>76</v>
      </c>
      <c r="D19" s="132">
        <v>3.76</v>
      </c>
      <c r="E19" s="124"/>
      <c r="F19" s="128"/>
      <c r="G19" s="389">
        <f>G18*D19</f>
        <v>225712.79999999996</v>
      </c>
    </row>
    <row r="20" spans="1:7" ht="19.5" customHeight="1" x14ac:dyDescent="0.2">
      <c r="A20" s="1028" t="s">
        <v>38</v>
      </c>
      <c r="B20" s="1029"/>
      <c r="C20" s="1029"/>
      <c r="D20" s="1029"/>
      <c r="E20" s="1029"/>
      <c r="F20" s="1029"/>
      <c r="G20" s="1030"/>
    </row>
    <row r="21" spans="1:7" ht="16.5" customHeight="1" x14ac:dyDescent="0.2">
      <c r="A21" s="385"/>
      <c r="B21" s="124" t="s">
        <v>29</v>
      </c>
      <c r="C21" s="124"/>
      <c r="D21" s="125"/>
      <c r="E21" s="124" t="s">
        <v>30</v>
      </c>
      <c r="F21" s="126">
        <f>F14</f>
        <v>100</v>
      </c>
      <c r="G21" s="386"/>
    </row>
    <row r="22" spans="1:7" ht="25.5" x14ac:dyDescent="0.2">
      <c r="A22" s="385"/>
      <c r="B22" s="127" t="s">
        <v>31</v>
      </c>
      <c r="C22" s="124"/>
      <c r="D22" s="125"/>
      <c r="E22" s="124"/>
      <c r="F22" s="128"/>
      <c r="G22" s="386"/>
    </row>
    <row r="23" spans="1:7" ht="15.75" customHeight="1" x14ac:dyDescent="0.2">
      <c r="A23" s="385"/>
      <c r="B23" s="124" t="s">
        <v>32</v>
      </c>
      <c r="C23" s="124" t="s">
        <v>33</v>
      </c>
      <c r="D23" s="125">
        <v>296</v>
      </c>
      <c r="E23" s="124"/>
      <c r="F23" s="221">
        <f>F21</f>
        <v>100</v>
      </c>
      <c r="G23" s="387">
        <f>D23*F23</f>
        <v>29600</v>
      </c>
    </row>
    <row r="24" spans="1:7" ht="25.5" x14ac:dyDescent="0.2">
      <c r="A24" s="385"/>
      <c r="B24" s="127" t="s">
        <v>34</v>
      </c>
      <c r="C24" s="124" t="s">
        <v>35</v>
      </c>
      <c r="D24" s="125">
        <v>1.1499999999999999</v>
      </c>
      <c r="E24" s="124"/>
      <c r="F24" s="128"/>
      <c r="G24" s="388">
        <f>G23*D24</f>
        <v>34040</v>
      </c>
    </row>
    <row r="25" spans="1:7" ht="17.25" customHeight="1" x14ac:dyDescent="0.2">
      <c r="A25" s="385"/>
      <c r="B25" s="129" t="s">
        <v>39</v>
      </c>
      <c r="C25" s="124"/>
      <c r="D25" s="125"/>
      <c r="E25" s="124"/>
      <c r="F25" s="128"/>
      <c r="G25" s="389">
        <f>G24</f>
        <v>34040</v>
      </c>
    </row>
    <row r="26" spans="1:7" ht="51" hidden="1" x14ac:dyDescent="0.2">
      <c r="A26" s="385"/>
      <c r="B26" s="129" t="s">
        <v>40</v>
      </c>
      <c r="C26" s="131" t="s">
        <v>76</v>
      </c>
      <c r="D26" s="132">
        <v>3.76</v>
      </c>
      <c r="E26" s="124"/>
      <c r="F26" s="128"/>
      <c r="G26" s="389">
        <f>G25*D26</f>
        <v>127990.39999999999</v>
      </c>
    </row>
    <row r="27" spans="1:7" ht="18" customHeight="1" x14ac:dyDescent="0.2">
      <c r="A27" s="385"/>
      <c r="B27" s="129"/>
      <c r="C27" s="131"/>
      <c r="D27" s="132"/>
      <c r="E27" s="124"/>
      <c r="F27" s="128"/>
      <c r="G27" s="389"/>
    </row>
    <row r="28" spans="1:7" ht="18.75" customHeight="1" x14ac:dyDescent="0.2">
      <c r="A28" s="1028" t="s">
        <v>171</v>
      </c>
      <c r="B28" s="1029"/>
      <c r="C28" s="1029"/>
      <c r="D28" s="1029"/>
      <c r="E28" s="1029"/>
      <c r="F28" s="1029"/>
      <c r="G28" s="1030"/>
    </row>
    <row r="29" spans="1:7" ht="18" customHeight="1" x14ac:dyDescent="0.2">
      <c r="A29" s="385"/>
      <c r="B29" s="124" t="s">
        <v>29</v>
      </c>
      <c r="C29" s="124"/>
      <c r="D29" s="125"/>
      <c r="E29" s="124" t="s">
        <v>30</v>
      </c>
      <c r="F29" s="221">
        <f>F14</f>
        <v>100</v>
      </c>
      <c r="G29" s="386"/>
    </row>
    <row r="30" spans="1:7" ht="25.5" x14ac:dyDescent="0.2">
      <c r="A30" s="385"/>
      <c r="B30" s="127" t="s">
        <v>31</v>
      </c>
      <c r="C30" s="124"/>
      <c r="D30" s="125"/>
      <c r="E30" s="124"/>
      <c r="F30" s="128"/>
      <c r="G30" s="386"/>
    </row>
    <row r="31" spans="1:7" ht="16.5" customHeight="1" x14ac:dyDescent="0.2">
      <c r="A31" s="385"/>
      <c r="B31" s="124" t="s">
        <v>32</v>
      </c>
      <c r="C31" s="124" t="s">
        <v>33</v>
      </c>
      <c r="D31" s="125">
        <v>178</v>
      </c>
      <c r="E31" s="124"/>
      <c r="F31" s="221">
        <f>F29</f>
        <v>100</v>
      </c>
      <c r="G31" s="387">
        <f>ROUND(D31*F31,2)</f>
        <v>17800</v>
      </c>
    </row>
    <row r="32" spans="1:7" ht="25.5" x14ac:dyDescent="0.2">
      <c r="A32" s="385"/>
      <c r="B32" s="127" t="s">
        <v>34</v>
      </c>
      <c r="C32" s="124" t="s">
        <v>35</v>
      </c>
      <c r="D32" s="125">
        <v>1.1499999999999999</v>
      </c>
      <c r="E32" s="124"/>
      <c r="F32" s="128"/>
      <c r="G32" s="389">
        <f>ROUND(G31*1.15,2)</f>
        <v>20470</v>
      </c>
    </row>
    <row r="33" spans="1:7" ht="18.75" customHeight="1" x14ac:dyDescent="0.2">
      <c r="A33" s="385"/>
      <c r="B33" s="129" t="s">
        <v>172</v>
      </c>
      <c r="C33" s="124"/>
      <c r="D33" s="125"/>
      <c r="E33" s="124"/>
      <c r="F33" s="128"/>
      <c r="G33" s="389">
        <f>G32</f>
        <v>20470</v>
      </c>
    </row>
    <row r="34" spans="1:7" ht="18.75" customHeight="1" thickBot="1" x14ac:dyDescent="0.25">
      <c r="A34" s="394"/>
      <c r="B34" s="395"/>
      <c r="C34" s="396"/>
      <c r="D34" s="397"/>
      <c r="E34" s="396"/>
      <c r="F34" s="398"/>
      <c r="G34" s="399"/>
    </row>
    <row r="35" spans="1:7" ht="18.75" customHeight="1" thickBot="1" x14ac:dyDescent="0.25">
      <c r="A35" s="400"/>
      <c r="B35" s="401" t="s">
        <v>41</v>
      </c>
      <c r="C35" s="402"/>
      <c r="D35" s="403"/>
      <c r="E35" s="402"/>
      <c r="F35" s="404"/>
      <c r="G35" s="405">
        <f>G18+G25+G33</f>
        <v>114540</v>
      </c>
    </row>
    <row r="36" spans="1:7" ht="27" hidden="1" customHeight="1" x14ac:dyDescent="0.2">
      <c r="A36" s="133"/>
      <c r="B36" s="134" t="s">
        <v>1</v>
      </c>
      <c r="C36" s="134"/>
      <c r="D36" s="135">
        <v>0.18</v>
      </c>
      <c r="E36" s="133"/>
      <c r="F36" s="136"/>
      <c r="G36" s="137">
        <f>G35*D36</f>
        <v>20617.2</v>
      </c>
    </row>
    <row r="37" spans="1:7" ht="27" hidden="1" customHeight="1" x14ac:dyDescent="0.2">
      <c r="A37" s="124"/>
      <c r="B37" s="129" t="s">
        <v>42</v>
      </c>
      <c r="C37" s="127"/>
      <c r="D37" s="125"/>
      <c r="E37" s="124"/>
      <c r="F37" s="128"/>
      <c r="G37" s="130">
        <f>G35+G36</f>
        <v>135157.20000000001</v>
      </c>
    </row>
    <row r="39" spans="1:7" s="66" customFormat="1" hidden="1" x14ac:dyDescent="0.2">
      <c r="B39" s="138" t="s">
        <v>43</v>
      </c>
      <c r="C39" s="139"/>
      <c r="D39" s="66" t="s">
        <v>44</v>
      </c>
      <c r="F39" s="115"/>
      <c r="G39" s="69"/>
    </row>
    <row r="40" spans="1:7" s="66" customFormat="1" x14ac:dyDescent="0.2">
      <c r="B40" s="138"/>
      <c r="F40" s="115"/>
      <c r="G40" s="69"/>
    </row>
    <row r="41" spans="1:7" s="708" customFormat="1" ht="15" x14ac:dyDescent="0.2">
      <c r="A41" s="617"/>
      <c r="B41" s="704"/>
      <c r="C41" s="705"/>
      <c r="D41" s="706"/>
      <c r="E41" s="707"/>
    </row>
    <row r="42" spans="1:7" s="708" customFormat="1" ht="15" x14ac:dyDescent="0.2">
      <c r="A42" s="617"/>
      <c r="B42" s="704"/>
      <c r="C42" s="705"/>
      <c r="D42" s="706"/>
      <c r="E42" s="707"/>
    </row>
    <row r="43" spans="1:7" s="708" customFormat="1" ht="15" x14ac:dyDescent="0.2">
      <c r="A43" s="617"/>
      <c r="B43" s="704"/>
      <c r="C43" s="705"/>
      <c r="D43" s="706"/>
      <c r="E43" s="707"/>
    </row>
    <row r="44" spans="1:7" s="616" customFormat="1" ht="15" x14ac:dyDescent="0.2">
      <c r="A44" s="617"/>
      <c r="B44" s="490"/>
      <c r="C44" s="490"/>
      <c r="D44" s="490"/>
      <c r="F44" s="504"/>
      <c r="G44" s="709"/>
    </row>
    <row r="45" spans="1:7" s="618" customFormat="1" ht="15" x14ac:dyDescent="0.2">
      <c r="A45" s="617"/>
      <c r="B45" s="502"/>
      <c r="C45" s="502"/>
      <c r="D45" s="502"/>
      <c r="F45" s="504"/>
    </row>
    <row r="46" spans="1:7" s="618" customFormat="1" ht="15" x14ac:dyDescent="0.2">
      <c r="A46" s="617"/>
      <c r="B46" s="502"/>
      <c r="C46" s="502"/>
      <c r="D46" s="502"/>
      <c r="F46" s="504"/>
    </row>
    <row r="47" spans="1:7" s="617" customFormat="1" ht="15" x14ac:dyDescent="0.2">
      <c r="A47" s="616"/>
      <c r="B47" s="490"/>
      <c r="C47" s="490"/>
      <c r="D47" s="490"/>
      <c r="F47" s="619"/>
    </row>
    <row r="48" spans="1:7" s="617" customFormat="1" ht="15" x14ac:dyDescent="0.2">
      <c r="A48" s="616"/>
      <c r="B48" s="490"/>
      <c r="C48" s="490"/>
      <c r="D48" s="490"/>
      <c r="F48" s="504"/>
    </row>
    <row r="49" spans="1:7" s="617" customFormat="1" ht="15" x14ac:dyDescent="0.2">
      <c r="A49" s="616"/>
      <c r="B49" s="710"/>
      <c r="C49" s="710"/>
      <c r="D49" s="711"/>
      <c r="E49" s="712"/>
    </row>
    <row r="50" spans="1:7" s="617" customFormat="1" ht="15" x14ac:dyDescent="0.2">
      <c r="A50" s="616"/>
      <c r="B50" s="710"/>
      <c r="C50" s="710"/>
      <c r="D50" s="711"/>
      <c r="E50" s="713"/>
    </row>
    <row r="51" spans="1:7" s="617" customFormat="1" ht="15" x14ac:dyDescent="0.2">
      <c r="A51" s="616"/>
      <c r="B51" s="710"/>
      <c r="C51" s="710"/>
      <c r="D51" s="711"/>
      <c r="E51" s="712"/>
    </row>
    <row r="52" spans="1:7" s="445" customFormat="1" ht="15" x14ac:dyDescent="0.2">
      <c r="A52" s="617"/>
      <c r="B52" s="704"/>
      <c r="C52" s="705"/>
      <c r="D52" s="706"/>
      <c r="E52" s="707"/>
    </row>
    <row r="53" spans="1:7" s="3" customFormat="1" x14ac:dyDescent="0.2">
      <c r="D53" s="5"/>
      <c r="F53" s="6"/>
    </row>
    <row r="54" spans="1:7" s="3" customFormat="1" x14ac:dyDescent="0.2">
      <c r="D54" s="5"/>
      <c r="F54" s="6"/>
    </row>
    <row r="55" spans="1:7" s="66" customFormat="1" hidden="1" x14ac:dyDescent="0.2">
      <c r="B55" s="140" t="s">
        <v>45</v>
      </c>
      <c r="C55" s="141"/>
      <c r="D55" s="142"/>
      <c r="E55" s="143" t="s">
        <v>46</v>
      </c>
      <c r="F55" s="144"/>
      <c r="G55" s="145"/>
    </row>
    <row r="56" spans="1:7" s="66" customFormat="1" hidden="1" x14ac:dyDescent="0.2">
      <c r="B56" s="140" t="s">
        <v>47</v>
      </c>
      <c r="C56" s="141"/>
      <c r="D56" s="142"/>
      <c r="E56" s="143" t="s">
        <v>20</v>
      </c>
      <c r="F56" s="144"/>
      <c r="G56" s="145"/>
    </row>
    <row r="57" spans="1:7" s="66" customFormat="1" hidden="1" x14ac:dyDescent="0.2">
      <c r="B57" s="140" t="s">
        <v>19</v>
      </c>
      <c r="C57" s="147"/>
      <c r="D57" s="148"/>
      <c r="E57" s="143"/>
      <c r="F57" s="144"/>
      <c r="G57" s="145"/>
    </row>
    <row r="58" spans="1:7" s="66" customFormat="1" hidden="1" x14ac:dyDescent="0.2">
      <c r="B58" s="149"/>
      <c r="C58" s="147"/>
      <c r="D58" s="148"/>
      <c r="E58" s="143"/>
      <c r="F58" s="144"/>
      <c r="G58" s="145"/>
    </row>
    <row r="59" spans="1:7" s="66" customFormat="1" hidden="1" x14ac:dyDescent="0.2">
      <c r="B59" s="149"/>
      <c r="C59" s="147"/>
      <c r="D59" s="148"/>
      <c r="E59" s="150"/>
      <c r="F59" s="144"/>
      <c r="G59" s="145"/>
    </row>
    <row r="60" spans="1:7" s="66" customFormat="1" hidden="1" x14ac:dyDescent="0.2">
      <c r="B60" s="146" t="s">
        <v>48</v>
      </c>
      <c r="C60" s="151"/>
      <c r="D60" s="142"/>
      <c r="E60" s="152"/>
      <c r="F60" s="153"/>
      <c r="G60" s="154" t="s">
        <v>21</v>
      </c>
    </row>
    <row r="61" spans="1:7" s="66" customFormat="1" ht="12.75" hidden="1" customHeight="1" x14ac:dyDescent="0.2">
      <c r="B61" s="88" t="s">
        <v>30</v>
      </c>
      <c r="D61" s="142"/>
      <c r="E61" s="88" t="s">
        <v>30</v>
      </c>
      <c r="F61" s="67"/>
    </row>
  </sheetData>
  <mergeCells count="7">
    <mergeCell ref="A28:G28"/>
    <mergeCell ref="A5:G5"/>
    <mergeCell ref="A7:G7"/>
    <mergeCell ref="A10:G10"/>
    <mergeCell ref="A13:G13"/>
    <mergeCell ref="A20:G20"/>
    <mergeCell ref="A9:G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view="pageBreakPreview" topLeftCell="A55" zoomScale="85" zoomScaleNormal="100" zoomScaleSheetLayoutView="85" workbookViewId="0">
      <selection activeCell="B60" sqref="B60:H69"/>
    </sheetView>
  </sheetViews>
  <sheetFormatPr defaultRowHeight="15.75" x14ac:dyDescent="0.2"/>
  <cols>
    <col min="1" max="1" width="3.7109375" style="515" customWidth="1"/>
    <col min="2" max="2" width="35" style="177" customWidth="1"/>
    <col min="3" max="3" width="17.5703125" style="177" customWidth="1"/>
    <col min="4" max="4" width="10.140625" style="516" customWidth="1"/>
    <col min="5" max="5" width="13.85546875" style="177" customWidth="1"/>
    <col min="6" max="6" width="7.7109375" style="177" bestFit="1" customWidth="1"/>
    <col min="7" max="7" width="16" style="177" customWidth="1"/>
    <col min="8" max="8" width="12.42578125" style="516" customWidth="1"/>
    <col min="9" max="9" width="35.85546875" style="517" customWidth="1"/>
    <col min="10" max="10" width="8.85546875" style="177" customWidth="1"/>
    <col min="11" max="11" width="15.7109375" style="177" customWidth="1"/>
    <col min="12" max="13" width="8" style="177" customWidth="1"/>
    <col min="14" max="14" width="11" style="177" customWidth="1"/>
    <col min="15" max="15" width="14.5703125" style="177" customWidth="1"/>
    <col min="16" max="16" width="6.28515625" style="177" customWidth="1"/>
    <col min="17" max="17" width="10.42578125" style="177" customWidth="1"/>
    <col min="18" max="18" width="17.140625" style="177" customWidth="1"/>
    <col min="19" max="221" width="9.140625" style="177"/>
    <col min="222" max="222" width="3.7109375" style="177" customWidth="1"/>
    <col min="223" max="223" width="32" style="177" customWidth="1"/>
    <col min="224" max="224" width="17.5703125" style="177" customWidth="1"/>
    <col min="225" max="225" width="9.85546875" style="177" customWidth="1"/>
    <col min="226" max="226" width="16.85546875" style="177" customWidth="1"/>
    <col min="227" max="227" width="6.7109375" style="177" customWidth="1"/>
    <col min="228" max="228" width="16.5703125" style="177" customWidth="1"/>
    <col min="229" max="229" width="11.5703125" style="177" customWidth="1"/>
    <col min="230" max="230" width="30.42578125" style="177" customWidth="1"/>
    <col min="231" max="231" width="8.28515625" style="177" customWidth="1"/>
    <col min="232" max="232" width="6.5703125" style="177" customWidth="1"/>
    <col min="233" max="234" width="6.140625" style="177" customWidth="1"/>
    <col min="235" max="235" width="13.140625" style="177" customWidth="1"/>
    <col min="236" max="237" width="6.28515625" style="177" customWidth="1"/>
    <col min="238" max="238" width="10.42578125" style="177" customWidth="1"/>
    <col min="239" max="256" width="9.140625" style="177"/>
    <col min="257" max="257" width="3.7109375" style="177" customWidth="1"/>
    <col min="258" max="258" width="35" style="177" customWidth="1"/>
    <col min="259" max="259" width="17.5703125" style="177" customWidth="1"/>
    <col min="260" max="260" width="10.140625" style="177" customWidth="1"/>
    <col min="261" max="261" width="13.85546875" style="177" customWidth="1"/>
    <col min="262" max="262" width="7.7109375" style="177" bestFit="1" customWidth="1"/>
    <col min="263" max="263" width="16" style="177" customWidth="1"/>
    <col min="264" max="264" width="12.42578125" style="177" customWidth="1"/>
    <col min="265" max="265" width="35.85546875" style="177" customWidth="1"/>
    <col min="266" max="266" width="8.85546875" style="177" customWidth="1"/>
    <col min="267" max="267" width="15.7109375" style="177" customWidth="1"/>
    <col min="268" max="269" width="8" style="177" customWidth="1"/>
    <col min="270" max="270" width="11" style="177" customWidth="1"/>
    <col min="271" max="271" width="14.5703125" style="177" customWidth="1"/>
    <col min="272" max="272" width="6.28515625" style="177" customWidth="1"/>
    <col min="273" max="273" width="10.42578125" style="177" customWidth="1"/>
    <col min="274" max="274" width="17.140625" style="177" customWidth="1"/>
    <col min="275" max="477" width="9.140625" style="177"/>
    <col min="478" max="478" width="3.7109375" style="177" customWidth="1"/>
    <col min="479" max="479" width="32" style="177" customWidth="1"/>
    <col min="480" max="480" width="17.5703125" style="177" customWidth="1"/>
    <col min="481" max="481" width="9.85546875" style="177" customWidth="1"/>
    <col min="482" max="482" width="16.85546875" style="177" customWidth="1"/>
    <col min="483" max="483" width="6.7109375" style="177" customWidth="1"/>
    <col min="484" max="484" width="16.5703125" style="177" customWidth="1"/>
    <col min="485" max="485" width="11.5703125" style="177" customWidth="1"/>
    <col min="486" max="486" width="30.42578125" style="177" customWidth="1"/>
    <col min="487" max="487" width="8.28515625" style="177" customWidth="1"/>
    <col min="488" max="488" width="6.5703125" style="177" customWidth="1"/>
    <col min="489" max="490" width="6.140625" style="177" customWidth="1"/>
    <col min="491" max="491" width="13.140625" style="177" customWidth="1"/>
    <col min="492" max="493" width="6.28515625" style="177" customWidth="1"/>
    <col min="494" max="494" width="10.42578125" style="177" customWidth="1"/>
    <col min="495" max="512" width="9.140625" style="177"/>
    <col min="513" max="513" width="3.7109375" style="177" customWidth="1"/>
    <col min="514" max="514" width="35" style="177" customWidth="1"/>
    <col min="515" max="515" width="17.5703125" style="177" customWidth="1"/>
    <col min="516" max="516" width="10.140625" style="177" customWidth="1"/>
    <col min="517" max="517" width="13.85546875" style="177" customWidth="1"/>
    <col min="518" max="518" width="7.7109375" style="177" bestFit="1" customWidth="1"/>
    <col min="519" max="519" width="16" style="177" customWidth="1"/>
    <col min="520" max="520" width="12.42578125" style="177" customWidth="1"/>
    <col min="521" max="521" width="35.85546875" style="177" customWidth="1"/>
    <col min="522" max="522" width="8.85546875" style="177" customWidth="1"/>
    <col min="523" max="523" width="15.7109375" style="177" customWidth="1"/>
    <col min="524" max="525" width="8" style="177" customWidth="1"/>
    <col min="526" max="526" width="11" style="177" customWidth="1"/>
    <col min="527" max="527" width="14.5703125" style="177" customWidth="1"/>
    <col min="528" max="528" width="6.28515625" style="177" customWidth="1"/>
    <col min="529" max="529" width="10.42578125" style="177" customWidth="1"/>
    <col min="530" max="530" width="17.140625" style="177" customWidth="1"/>
    <col min="531" max="733" width="9.140625" style="177"/>
    <col min="734" max="734" width="3.7109375" style="177" customWidth="1"/>
    <col min="735" max="735" width="32" style="177" customWidth="1"/>
    <col min="736" max="736" width="17.5703125" style="177" customWidth="1"/>
    <col min="737" max="737" width="9.85546875" style="177" customWidth="1"/>
    <col min="738" max="738" width="16.85546875" style="177" customWidth="1"/>
    <col min="739" max="739" width="6.7109375" style="177" customWidth="1"/>
    <col min="740" max="740" width="16.5703125" style="177" customWidth="1"/>
    <col min="741" max="741" width="11.5703125" style="177" customWidth="1"/>
    <col min="742" max="742" width="30.42578125" style="177" customWidth="1"/>
    <col min="743" max="743" width="8.28515625" style="177" customWidth="1"/>
    <col min="744" max="744" width="6.5703125" style="177" customWidth="1"/>
    <col min="745" max="746" width="6.140625" style="177" customWidth="1"/>
    <col min="747" max="747" width="13.140625" style="177" customWidth="1"/>
    <col min="748" max="749" width="6.28515625" style="177" customWidth="1"/>
    <col min="750" max="750" width="10.42578125" style="177" customWidth="1"/>
    <col min="751" max="768" width="9.140625" style="177"/>
    <col min="769" max="769" width="3.7109375" style="177" customWidth="1"/>
    <col min="770" max="770" width="35" style="177" customWidth="1"/>
    <col min="771" max="771" width="17.5703125" style="177" customWidth="1"/>
    <col min="772" max="772" width="10.140625" style="177" customWidth="1"/>
    <col min="773" max="773" width="13.85546875" style="177" customWidth="1"/>
    <col min="774" max="774" width="7.7109375" style="177" bestFit="1" customWidth="1"/>
    <col min="775" max="775" width="16" style="177" customWidth="1"/>
    <col min="776" max="776" width="12.42578125" style="177" customWidth="1"/>
    <col min="777" max="777" width="35.85546875" style="177" customWidth="1"/>
    <col min="778" max="778" width="8.85546875" style="177" customWidth="1"/>
    <col min="779" max="779" width="15.7109375" style="177" customWidth="1"/>
    <col min="780" max="781" width="8" style="177" customWidth="1"/>
    <col min="782" max="782" width="11" style="177" customWidth="1"/>
    <col min="783" max="783" width="14.5703125" style="177" customWidth="1"/>
    <col min="784" max="784" width="6.28515625" style="177" customWidth="1"/>
    <col min="785" max="785" width="10.42578125" style="177" customWidth="1"/>
    <col min="786" max="786" width="17.140625" style="177" customWidth="1"/>
    <col min="787" max="989" width="9.140625" style="177"/>
    <col min="990" max="990" width="3.7109375" style="177" customWidth="1"/>
    <col min="991" max="991" width="32" style="177" customWidth="1"/>
    <col min="992" max="992" width="17.5703125" style="177" customWidth="1"/>
    <col min="993" max="993" width="9.85546875" style="177" customWidth="1"/>
    <col min="994" max="994" width="16.85546875" style="177" customWidth="1"/>
    <col min="995" max="995" width="6.7109375" style="177" customWidth="1"/>
    <col min="996" max="996" width="16.5703125" style="177" customWidth="1"/>
    <col min="997" max="997" width="11.5703125" style="177" customWidth="1"/>
    <col min="998" max="998" width="30.42578125" style="177" customWidth="1"/>
    <col min="999" max="999" width="8.28515625" style="177" customWidth="1"/>
    <col min="1000" max="1000" width="6.5703125" style="177" customWidth="1"/>
    <col min="1001" max="1002" width="6.140625" style="177" customWidth="1"/>
    <col min="1003" max="1003" width="13.140625" style="177" customWidth="1"/>
    <col min="1004" max="1005" width="6.28515625" style="177" customWidth="1"/>
    <col min="1006" max="1006" width="10.42578125" style="177" customWidth="1"/>
    <col min="1007" max="1024" width="9.140625" style="177"/>
    <col min="1025" max="1025" width="3.7109375" style="177" customWidth="1"/>
    <col min="1026" max="1026" width="35" style="177" customWidth="1"/>
    <col min="1027" max="1027" width="17.5703125" style="177" customWidth="1"/>
    <col min="1028" max="1028" width="10.140625" style="177" customWidth="1"/>
    <col min="1029" max="1029" width="13.85546875" style="177" customWidth="1"/>
    <col min="1030" max="1030" width="7.7109375" style="177" bestFit="1" customWidth="1"/>
    <col min="1031" max="1031" width="16" style="177" customWidth="1"/>
    <col min="1032" max="1032" width="12.42578125" style="177" customWidth="1"/>
    <col min="1033" max="1033" width="35.85546875" style="177" customWidth="1"/>
    <col min="1034" max="1034" width="8.85546875" style="177" customWidth="1"/>
    <col min="1035" max="1035" width="15.7109375" style="177" customWidth="1"/>
    <col min="1036" max="1037" width="8" style="177" customWidth="1"/>
    <col min="1038" max="1038" width="11" style="177" customWidth="1"/>
    <col min="1039" max="1039" width="14.5703125" style="177" customWidth="1"/>
    <col min="1040" max="1040" width="6.28515625" style="177" customWidth="1"/>
    <col min="1041" max="1041" width="10.42578125" style="177" customWidth="1"/>
    <col min="1042" max="1042" width="17.140625" style="177" customWidth="1"/>
    <col min="1043" max="1245" width="9.140625" style="177"/>
    <col min="1246" max="1246" width="3.7109375" style="177" customWidth="1"/>
    <col min="1247" max="1247" width="32" style="177" customWidth="1"/>
    <col min="1248" max="1248" width="17.5703125" style="177" customWidth="1"/>
    <col min="1249" max="1249" width="9.85546875" style="177" customWidth="1"/>
    <col min="1250" max="1250" width="16.85546875" style="177" customWidth="1"/>
    <col min="1251" max="1251" width="6.7109375" style="177" customWidth="1"/>
    <col min="1252" max="1252" width="16.5703125" style="177" customWidth="1"/>
    <col min="1253" max="1253" width="11.5703125" style="177" customWidth="1"/>
    <col min="1254" max="1254" width="30.42578125" style="177" customWidth="1"/>
    <col min="1255" max="1255" width="8.28515625" style="177" customWidth="1"/>
    <col min="1256" max="1256" width="6.5703125" style="177" customWidth="1"/>
    <col min="1257" max="1258" width="6.140625" style="177" customWidth="1"/>
    <col min="1259" max="1259" width="13.140625" style="177" customWidth="1"/>
    <col min="1260" max="1261" width="6.28515625" style="177" customWidth="1"/>
    <col min="1262" max="1262" width="10.42578125" style="177" customWidth="1"/>
    <col min="1263" max="1280" width="9.140625" style="177"/>
    <col min="1281" max="1281" width="3.7109375" style="177" customWidth="1"/>
    <col min="1282" max="1282" width="35" style="177" customWidth="1"/>
    <col min="1283" max="1283" width="17.5703125" style="177" customWidth="1"/>
    <col min="1284" max="1284" width="10.140625" style="177" customWidth="1"/>
    <col min="1285" max="1285" width="13.85546875" style="177" customWidth="1"/>
    <col min="1286" max="1286" width="7.7109375" style="177" bestFit="1" customWidth="1"/>
    <col min="1287" max="1287" width="16" style="177" customWidth="1"/>
    <col min="1288" max="1288" width="12.42578125" style="177" customWidth="1"/>
    <col min="1289" max="1289" width="35.85546875" style="177" customWidth="1"/>
    <col min="1290" max="1290" width="8.85546875" style="177" customWidth="1"/>
    <col min="1291" max="1291" width="15.7109375" style="177" customWidth="1"/>
    <col min="1292" max="1293" width="8" style="177" customWidth="1"/>
    <col min="1294" max="1294" width="11" style="177" customWidth="1"/>
    <col min="1295" max="1295" width="14.5703125" style="177" customWidth="1"/>
    <col min="1296" max="1296" width="6.28515625" style="177" customWidth="1"/>
    <col min="1297" max="1297" width="10.42578125" style="177" customWidth="1"/>
    <col min="1298" max="1298" width="17.140625" style="177" customWidth="1"/>
    <col min="1299" max="1501" width="9.140625" style="177"/>
    <col min="1502" max="1502" width="3.7109375" style="177" customWidth="1"/>
    <col min="1503" max="1503" width="32" style="177" customWidth="1"/>
    <col min="1504" max="1504" width="17.5703125" style="177" customWidth="1"/>
    <col min="1505" max="1505" width="9.85546875" style="177" customWidth="1"/>
    <col min="1506" max="1506" width="16.85546875" style="177" customWidth="1"/>
    <col min="1507" max="1507" width="6.7109375" style="177" customWidth="1"/>
    <col min="1508" max="1508" width="16.5703125" style="177" customWidth="1"/>
    <col min="1509" max="1509" width="11.5703125" style="177" customWidth="1"/>
    <col min="1510" max="1510" width="30.42578125" style="177" customWidth="1"/>
    <col min="1511" max="1511" width="8.28515625" style="177" customWidth="1"/>
    <col min="1512" max="1512" width="6.5703125" style="177" customWidth="1"/>
    <col min="1513" max="1514" width="6.140625" style="177" customWidth="1"/>
    <col min="1515" max="1515" width="13.140625" style="177" customWidth="1"/>
    <col min="1516" max="1517" width="6.28515625" style="177" customWidth="1"/>
    <col min="1518" max="1518" width="10.42578125" style="177" customWidth="1"/>
    <col min="1519" max="1536" width="9.140625" style="177"/>
    <col min="1537" max="1537" width="3.7109375" style="177" customWidth="1"/>
    <col min="1538" max="1538" width="35" style="177" customWidth="1"/>
    <col min="1539" max="1539" width="17.5703125" style="177" customWidth="1"/>
    <col min="1540" max="1540" width="10.140625" style="177" customWidth="1"/>
    <col min="1541" max="1541" width="13.85546875" style="177" customWidth="1"/>
    <col min="1542" max="1542" width="7.7109375" style="177" bestFit="1" customWidth="1"/>
    <col min="1543" max="1543" width="16" style="177" customWidth="1"/>
    <col min="1544" max="1544" width="12.42578125" style="177" customWidth="1"/>
    <col min="1545" max="1545" width="35.85546875" style="177" customWidth="1"/>
    <col min="1546" max="1546" width="8.85546875" style="177" customWidth="1"/>
    <col min="1547" max="1547" width="15.7109375" style="177" customWidth="1"/>
    <col min="1548" max="1549" width="8" style="177" customWidth="1"/>
    <col min="1550" max="1550" width="11" style="177" customWidth="1"/>
    <col min="1551" max="1551" width="14.5703125" style="177" customWidth="1"/>
    <col min="1552" max="1552" width="6.28515625" style="177" customWidth="1"/>
    <col min="1553" max="1553" width="10.42578125" style="177" customWidth="1"/>
    <col min="1554" max="1554" width="17.140625" style="177" customWidth="1"/>
    <col min="1555" max="1757" width="9.140625" style="177"/>
    <col min="1758" max="1758" width="3.7109375" style="177" customWidth="1"/>
    <col min="1759" max="1759" width="32" style="177" customWidth="1"/>
    <col min="1760" max="1760" width="17.5703125" style="177" customWidth="1"/>
    <col min="1761" max="1761" width="9.85546875" style="177" customWidth="1"/>
    <col min="1762" max="1762" width="16.85546875" style="177" customWidth="1"/>
    <col min="1763" max="1763" width="6.7109375" style="177" customWidth="1"/>
    <col min="1764" max="1764" width="16.5703125" style="177" customWidth="1"/>
    <col min="1765" max="1765" width="11.5703125" style="177" customWidth="1"/>
    <col min="1766" max="1766" width="30.42578125" style="177" customWidth="1"/>
    <col min="1767" max="1767" width="8.28515625" style="177" customWidth="1"/>
    <col min="1768" max="1768" width="6.5703125" style="177" customWidth="1"/>
    <col min="1769" max="1770" width="6.140625" style="177" customWidth="1"/>
    <col min="1771" max="1771" width="13.140625" style="177" customWidth="1"/>
    <col min="1772" max="1773" width="6.28515625" style="177" customWidth="1"/>
    <col min="1774" max="1774" width="10.42578125" style="177" customWidth="1"/>
    <col min="1775" max="1792" width="9.140625" style="177"/>
    <col min="1793" max="1793" width="3.7109375" style="177" customWidth="1"/>
    <col min="1794" max="1794" width="35" style="177" customWidth="1"/>
    <col min="1795" max="1795" width="17.5703125" style="177" customWidth="1"/>
    <col min="1796" max="1796" width="10.140625" style="177" customWidth="1"/>
    <col min="1797" max="1797" width="13.85546875" style="177" customWidth="1"/>
    <col min="1798" max="1798" width="7.7109375" style="177" bestFit="1" customWidth="1"/>
    <col min="1799" max="1799" width="16" style="177" customWidth="1"/>
    <col min="1800" max="1800" width="12.42578125" style="177" customWidth="1"/>
    <col min="1801" max="1801" width="35.85546875" style="177" customWidth="1"/>
    <col min="1802" max="1802" width="8.85546875" style="177" customWidth="1"/>
    <col min="1803" max="1803" width="15.7109375" style="177" customWidth="1"/>
    <col min="1804" max="1805" width="8" style="177" customWidth="1"/>
    <col min="1806" max="1806" width="11" style="177" customWidth="1"/>
    <col min="1807" max="1807" width="14.5703125" style="177" customWidth="1"/>
    <col min="1808" max="1808" width="6.28515625" style="177" customWidth="1"/>
    <col min="1809" max="1809" width="10.42578125" style="177" customWidth="1"/>
    <col min="1810" max="1810" width="17.140625" style="177" customWidth="1"/>
    <col min="1811" max="2013" width="9.140625" style="177"/>
    <col min="2014" max="2014" width="3.7109375" style="177" customWidth="1"/>
    <col min="2015" max="2015" width="32" style="177" customWidth="1"/>
    <col min="2016" max="2016" width="17.5703125" style="177" customWidth="1"/>
    <col min="2017" max="2017" width="9.85546875" style="177" customWidth="1"/>
    <col min="2018" max="2018" width="16.85546875" style="177" customWidth="1"/>
    <col min="2019" max="2019" width="6.7109375" style="177" customWidth="1"/>
    <col min="2020" max="2020" width="16.5703125" style="177" customWidth="1"/>
    <col min="2021" max="2021" width="11.5703125" style="177" customWidth="1"/>
    <col min="2022" max="2022" width="30.42578125" style="177" customWidth="1"/>
    <col min="2023" max="2023" width="8.28515625" style="177" customWidth="1"/>
    <col min="2024" max="2024" width="6.5703125" style="177" customWidth="1"/>
    <col min="2025" max="2026" width="6.140625" style="177" customWidth="1"/>
    <col min="2027" max="2027" width="13.140625" style="177" customWidth="1"/>
    <col min="2028" max="2029" width="6.28515625" style="177" customWidth="1"/>
    <col min="2030" max="2030" width="10.42578125" style="177" customWidth="1"/>
    <col min="2031" max="2048" width="9.140625" style="177"/>
    <col min="2049" max="2049" width="3.7109375" style="177" customWidth="1"/>
    <col min="2050" max="2050" width="35" style="177" customWidth="1"/>
    <col min="2051" max="2051" width="17.5703125" style="177" customWidth="1"/>
    <col min="2052" max="2052" width="10.140625" style="177" customWidth="1"/>
    <col min="2053" max="2053" width="13.85546875" style="177" customWidth="1"/>
    <col min="2054" max="2054" width="7.7109375" style="177" bestFit="1" customWidth="1"/>
    <col min="2055" max="2055" width="16" style="177" customWidth="1"/>
    <col min="2056" max="2056" width="12.42578125" style="177" customWidth="1"/>
    <col min="2057" max="2057" width="35.85546875" style="177" customWidth="1"/>
    <col min="2058" max="2058" width="8.85546875" style="177" customWidth="1"/>
    <col min="2059" max="2059" width="15.7109375" style="177" customWidth="1"/>
    <col min="2060" max="2061" width="8" style="177" customWidth="1"/>
    <col min="2062" max="2062" width="11" style="177" customWidth="1"/>
    <col min="2063" max="2063" width="14.5703125" style="177" customWidth="1"/>
    <col min="2064" max="2064" width="6.28515625" style="177" customWidth="1"/>
    <col min="2065" max="2065" width="10.42578125" style="177" customWidth="1"/>
    <col min="2066" max="2066" width="17.140625" style="177" customWidth="1"/>
    <col min="2067" max="2269" width="9.140625" style="177"/>
    <col min="2270" max="2270" width="3.7109375" style="177" customWidth="1"/>
    <col min="2271" max="2271" width="32" style="177" customWidth="1"/>
    <col min="2272" max="2272" width="17.5703125" style="177" customWidth="1"/>
    <col min="2273" max="2273" width="9.85546875" style="177" customWidth="1"/>
    <col min="2274" max="2274" width="16.85546875" style="177" customWidth="1"/>
    <col min="2275" max="2275" width="6.7109375" style="177" customWidth="1"/>
    <col min="2276" max="2276" width="16.5703125" style="177" customWidth="1"/>
    <col min="2277" max="2277" width="11.5703125" style="177" customWidth="1"/>
    <col min="2278" max="2278" width="30.42578125" style="177" customWidth="1"/>
    <col min="2279" max="2279" width="8.28515625" style="177" customWidth="1"/>
    <col min="2280" max="2280" width="6.5703125" style="177" customWidth="1"/>
    <col min="2281" max="2282" width="6.140625" style="177" customWidth="1"/>
    <col min="2283" max="2283" width="13.140625" style="177" customWidth="1"/>
    <col min="2284" max="2285" width="6.28515625" style="177" customWidth="1"/>
    <col min="2286" max="2286" width="10.42578125" style="177" customWidth="1"/>
    <col min="2287" max="2304" width="9.140625" style="177"/>
    <col min="2305" max="2305" width="3.7109375" style="177" customWidth="1"/>
    <col min="2306" max="2306" width="35" style="177" customWidth="1"/>
    <col min="2307" max="2307" width="17.5703125" style="177" customWidth="1"/>
    <col min="2308" max="2308" width="10.140625" style="177" customWidth="1"/>
    <col min="2309" max="2309" width="13.85546875" style="177" customWidth="1"/>
    <col min="2310" max="2310" width="7.7109375" style="177" bestFit="1" customWidth="1"/>
    <col min="2311" max="2311" width="16" style="177" customWidth="1"/>
    <col min="2312" max="2312" width="12.42578125" style="177" customWidth="1"/>
    <col min="2313" max="2313" width="35.85546875" style="177" customWidth="1"/>
    <col min="2314" max="2314" width="8.85546875" style="177" customWidth="1"/>
    <col min="2315" max="2315" width="15.7109375" style="177" customWidth="1"/>
    <col min="2316" max="2317" width="8" style="177" customWidth="1"/>
    <col min="2318" max="2318" width="11" style="177" customWidth="1"/>
    <col min="2319" max="2319" width="14.5703125" style="177" customWidth="1"/>
    <col min="2320" max="2320" width="6.28515625" style="177" customWidth="1"/>
    <col min="2321" max="2321" width="10.42578125" style="177" customWidth="1"/>
    <col min="2322" max="2322" width="17.140625" style="177" customWidth="1"/>
    <col min="2323" max="2525" width="9.140625" style="177"/>
    <col min="2526" max="2526" width="3.7109375" style="177" customWidth="1"/>
    <col min="2527" max="2527" width="32" style="177" customWidth="1"/>
    <col min="2528" max="2528" width="17.5703125" style="177" customWidth="1"/>
    <col min="2529" max="2529" width="9.85546875" style="177" customWidth="1"/>
    <col min="2530" max="2530" width="16.85546875" style="177" customWidth="1"/>
    <col min="2531" max="2531" width="6.7109375" style="177" customWidth="1"/>
    <col min="2532" max="2532" width="16.5703125" style="177" customWidth="1"/>
    <col min="2533" max="2533" width="11.5703125" style="177" customWidth="1"/>
    <col min="2534" max="2534" width="30.42578125" style="177" customWidth="1"/>
    <col min="2535" max="2535" width="8.28515625" style="177" customWidth="1"/>
    <col min="2536" max="2536" width="6.5703125" style="177" customWidth="1"/>
    <col min="2537" max="2538" width="6.140625" style="177" customWidth="1"/>
    <col min="2539" max="2539" width="13.140625" style="177" customWidth="1"/>
    <col min="2540" max="2541" width="6.28515625" style="177" customWidth="1"/>
    <col min="2542" max="2542" width="10.42578125" style="177" customWidth="1"/>
    <col min="2543" max="2560" width="9.140625" style="177"/>
    <col min="2561" max="2561" width="3.7109375" style="177" customWidth="1"/>
    <col min="2562" max="2562" width="35" style="177" customWidth="1"/>
    <col min="2563" max="2563" width="17.5703125" style="177" customWidth="1"/>
    <col min="2564" max="2564" width="10.140625" style="177" customWidth="1"/>
    <col min="2565" max="2565" width="13.85546875" style="177" customWidth="1"/>
    <col min="2566" max="2566" width="7.7109375" style="177" bestFit="1" customWidth="1"/>
    <col min="2567" max="2567" width="16" style="177" customWidth="1"/>
    <col min="2568" max="2568" width="12.42578125" style="177" customWidth="1"/>
    <col min="2569" max="2569" width="35.85546875" style="177" customWidth="1"/>
    <col min="2570" max="2570" width="8.85546875" style="177" customWidth="1"/>
    <col min="2571" max="2571" width="15.7109375" style="177" customWidth="1"/>
    <col min="2572" max="2573" width="8" style="177" customWidth="1"/>
    <col min="2574" max="2574" width="11" style="177" customWidth="1"/>
    <col min="2575" max="2575" width="14.5703125" style="177" customWidth="1"/>
    <col min="2576" max="2576" width="6.28515625" style="177" customWidth="1"/>
    <col min="2577" max="2577" width="10.42578125" style="177" customWidth="1"/>
    <col min="2578" max="2578" width="17.140625" style="177" customWidth="1"/>
    <col min="2579" max="2781" width="9.140625" style="177"/>
    <col min="2782" max="2782" width="3.7109375" style="177" customWidth="1"/>
    <col min="2783" max="2783" width="32" style="177" customWidth="1"/>
    <col min="2784" max="2784" width="17.5703125" style="177" customWidth="1"/>
    <col min="2785" max="2785" width="9.85546875" style="177" customWidth="1"/>
    <col min="2786" max="2786" width="16.85546875" style="177" customWidth="1"/>
    <col min="2787" max="2787" width="6.7109375" style="177" customWidth="1"/>
    <col min="2788" max="2788" width="16.5703125" style="177" customWidth="1"/>
    <col min="2789" max="2789" width="11.5703125" style="177" customWidth="1"/>
    <col min="2790" max="2790" width="30.42578125" style="177" customWidth="1"/>
    <col min="2791" max="2791" width="8.28515625" style="177" customWidth="1"/>
    <col min="2792" max="2792" width="6.5703125" style="177" customWidth="1"/>
    <col min="2793" max="2794" width="6.140625" style="177" customWidth="1"/>
    <col min="2795" max="2795" width="13.140625" style="177" customWidth="1"/>
    <col min="2796" max="2797" width="6.28515625" style="177" customWidth="1"/>
    <col min="2798" max="2798" width="10.42578125" style="177" customWidth="1"/>
    <col min="2799" max="2816" width="9.140625" style="177"/>
    <col min="2817" max="2817" width="3.7109375" style="177" customWidth="1"/>
    <col min="2818" max="2818" width="35" style="177" customWidth="1"/>
    <col min="2819" max="2819" width="17.5703125" style="177" customWidth="1"/>
    <col min="2820" max="2820" width="10.140625" style="177" customWidth="1"/>
    <col min="2821" max="2821" width="13.85546875" style="177" customWidth="1"/>
    <col min="2822" max="2822" width="7.7109375" style="177" bestFit="1" customWidth="1"/>
    <col min="2823" max="2823" width="16" style="177" customWidth="1"/>
    <col min="2824" max="2824" width="12.42578125" style="177" customWidth="1"/>
    <col min="2825" max="2825" width="35.85546875" style="177" customWidth="1"/>
    <col min="2826" max="2826" width="8.85546875" style="177" customWidth="1"/>
    <col min="2827" max="2827" width="15.7109375" style="177" customWidth="1"/>
    <col min="2828" max="2829" width="8" style="177" customWidth="1"/>
    <col min="2830" max="2830" width="11" style="177" customWidth="1"/>
    <col min="2831" max="2831" width="14.5703125" style="177" customWidth="1"/>
    <col min="2832" max="2832" width="6.28515625" style="177" customWidth="1"/>
    <col min="2833" max="2833" width="10.42578125" style="177" customWidth="1"/>
    <col min="2834" max="2834" width="17.140625" style="177" customWidth="1"/>
    <col min="2835" max="3037" width="9.140625" style="177"/>
    <col min="3038" max="3038" width="3.7109375" style="177" customWidth="1"/>
    <col min="3039" max="3039" width="32" style="177" customWidth="1"/>
    <col min="3040" max="3040" width="17.5703125" style="177" customWidth="1"/>
    <col min="3041" max="3041" width="9.85546875" style="177" customWidth="1"/>
    <col min="3042" max="3042" width="16.85546875" style="177" customWidth="1"/>
    <col min="3043" max="3043" width="6.7109375" style="177" customWidth="1"/>
    <col min="3044" max="3044" width="16.5703125" style="177" customWidth="1"/>
    <col min="3045" max="3045" width="11.5703125" style="177" customWidth="1"/>
    <col min="3046" max="3046" width="30.42578125" style="177" customWidth="1"/>
    <col min="3047" max="3047" width="8.28515625" style="177" customWidth="1"/>
    <col min="3048" max="3048" width="6.5703125" style="177" customWidth="1"/>
    <col min="3049" max="3050" width="6.140625" style="177" customWidth="1"/>
    <col min="3051" max="3051" width="13.140625" style="177" customWidth="1"/>
    <col min="3052" max="3053" width="6.28515625" style="177" customWidth="1"/>
    <col min="3054" max="3054" width="10.42578125" style="177" customWidth="1"/>
    <col min="3055" max="3072" width="9.140625" style="177"/>
    <col min="3073" max="3073" width="3.7109375" style="177" customWidth="1"/>
    <col min="3074" max="3074" width="35" style="177" customWidth="1"/>
    <col min="3075" max="3075" width="17.5703125" style="177" customWidth="1"/>
    <col min="3076" max="3076" width="10.140625" style="177" customWidth="1"/>
    <col min="3077" max="3077" width="13.85546875" style="177" customWidth="1"/>
    <col min="3078" max="3078" width="7.7109375" style="177" bestFit="1" customWidth="1"/>
    <col min="3079" max="3079" width="16" style="177" customWidth="1"/>
    <col min="3080" max="3080" width="12.42578125" style="177" customWidth="1"/>
    <col min="3081" max="3081" width="35.85546875" style="177" customWidth="1"/>
    <col min="3082" max="3082" width="8.85546875" style="177" customWidth="1"/>
    <col min="3083" max="3083" width="15.7109375" style="177" customWidth="1"/>
    <col min="3084" max="3085" width="8" style="177" customWidth="1"/>
    <col min="3086" max="3086" width="11" style="177" customWidth="1"/>
    <col min="3087" max="3087" width="14.5703125" style="177" customWidth="1"/>
    <col min="3088" max="3088" width="6.28515625" style="177" customWidth="1"/>
    <col min="3089" max="3089" width="10.42578125" style="177" customWidth="1"/>
    <col min="3090" max="3090" width="17.140625" style="177" customWidth="1"/>
    <col min="3091" max="3293" width="9.140625" style="177"/>
    <col min="3294" max="3294" width="3.7109375" style="177" customWidth="1"/>
    <col min="3295" max="3295" width="32" style="177" customWidth="1"/>
    <col min="3296" max="3296" width="17.5703125" style="177" customWidth="1"/>
    <col min="3297" max="3297" width="9.85546875" style="177" customWidth="1"/>
    <col min="3298" max="3298" width="16.85546875" style="177" customWidth="1"/>
    <col min="3299" max="3299" width="6.7109375" style="177" customWidth="1"/>
    <col min="3300" max="3300" width="16.5703125" style="177" customWidth="1"/>
    <col min="3301" max="3301" width="11.5703125" style="177" customWidth="1"/>
    <col min="3302" max="3302" width="30.42578125" style="177" customWidth="1"/>
    <col min="3303" max="3303" width="8.28515625" style="177" customWidth="1"/>
    <col min="3304" max="3304" width="6.5703125" style="177" customWidth="1"/>
    <col min="3305" max="3306" width="6.140625" style="177" customWidth="1"/>
    <col min="3307" max="3307" width="13.140625" style="177" customWidth="1"/>
    <col min="3308" max="3309" width="6.28515625" style="177" customWidth="1"/>
    <col min="3310" max="3310" width="10.42578125" style="177" customWidth="1"/>
    <col min="3311" max="3328" width="9.140625" style="177"/>
    <col min="3329" max="3329" width="3.7109375" style="177" customWidth="1"/>
    <col min="3330" max="3330" width="35" style="177" customWidth="1"/>
    <col min="3331" max="3331" width="17.5703125" style="177" customWidth="1"/>
    <col min="3332" max="3332" width="10.140625" style="177" customWidth="1"/>
    <col min="3333" max="3333" width="13.85546875" style="177" customWidth="1"/>
    <col min="3334" max="3334" width="7.7109375" style="177" bestFit="1" customWidth="1"/>
    <col min="3335" max="3335" width="16" style="177" customWidth="1"/>
    <col min="3336" max="3336" width="12.42578125" style="177" customWidth="1"/>
    <col min="3337" max="3337" width="35.85546875" style="177" customWidth="1"/>
    <col min="3338" max="3338" width="8.85546875" style="177" customWidth="1"/>
    <col min="3339" max="3339" width="15.7109375" style="177" customWidth="1"/>
    <col min="3340" max="3341" width="8" style="177" customWidth="1"/>
    <col min="3342" max="3342" width="11" style="177" customWidth="1"/>
    <col min="3343" max="3343" width="14.5703125" style="177" customWidth="1"/>
    <col min="3344" max="3344" width="6.28515625" style="177" customWidth="1"/>
    <col min="3345" max="3345" width="10.42578125" style="177" customWidth="1"/>
    <col min="3346" max="3346" width="17.140625" style="177" customWidth="1"/>
    <col min="3347" max="3549" width="9.140625" style="177"/>
    <col min="3550" max="3550" width="3.7109375" style="177" customWidth="1"/>
    <col min="3551" max="3551" width="32" style="177" customWidth="1"/>
    <col min="3552" max="3552" width="17.5703125" style="177" customWidth="1"/>
    <col min="3553" max="3553" width="9.85546875" style="177" customWidth="1"/>
    <col min="3554" max="3554" width="16.85546875" style="177" customWidth="1"/>
    <col min="3555" max="3555" width="6.7109375" style="177" customWidth="1"/>
    <col min="3556" max="3556" width="16.5703125" style="177" customWidth="1"/>
    <col min="3557" max="3557" width="11.5703125" style="177" customWidth="1"/>
    <col min="3558" max="3558" width="30.42578125" style="177" customWidth="1"/>
    <col min="3559" max="3559" width="8.28515625" style="177" customWidth="1"/>
    <col min="3560" max="3560" width="6.5703125" style="177" customWidth="1"/>
    <col min="3561" max="3562" width="6.140625" style="177" customWidth="1"/>
    <col min="3563" max="3563" width="13.140625" style="177" customWidth="1"/>
    <col min="3564" max="3565" width="6.28515625" style="177" customWidth="1"/>
    <col min="3566" max="3566" width="10.42578125" style="177" customWidth="1"/>
    <col min="3567" max="3584" width="9.140625" style="177"/>
    <col min="3585" max="3585" width="3.7109375" style="177" customWidth="1"/>
    <col min="3586" max="3586" width="35" style="177" customWidth="1"/>
    <col min="3587" max="3587" width="17.5703125" style="177" customWidth="1"/>
    <col min="3588" max="3588" width="10.140625" style="177" customWidth="1"/>
    <col min="3589" max="3589" width="13.85546875" style="177" customWidth="1"/>
    <col min="3590" max="3590" width="7.7109375" style="177" bestFit="1" customWidth="1"/>
    <col min="3591" max="3591" width="16" style="177" customWidth="1"/>
    <col min="3592" max="3592" width="12.42578125" style="177" customWidth="1"/>
    <col min="3593" max="3593" width="35.85546875" style="177" customWidth="1"/>
    <col min="3594" max="3594" width="8.85546875" style="177" customWidth="1"/>
    <col min="3595" max="3595" width="15.7109375" style="177" customWidth="1"/>
    <col min="3596" max="3597" width="8" style="177" customWidth="1"/>
    <col min="3598" max="3598" width="11" style="177" customWidth="1"/>
    <col min="3599" max="3599" width="14.5703125" style="177" customWidth="1"/>
    <col min="3600" max="3600" width="6.28515625" style="177" customWidth="1"/>
    <col min="3601" max="3601" width="10.42578125" style="177" customWidth="1"/>
    <col min="3602" max="3602" width="17.140625" style="177" customWidth="1"/>
    <col min="3603" max="3805" width="9.140625" style="177"/>
    <col min="3806" max="3806" width="3.7109375" style="177" customWidth="1"/>
    <col min="3807" max="3807" width="32" style="177" customWidth="1"/>
    <col min="3808" max="3808" width="17.5703125" style="177" customWidth="1"/>
    <col min="3809" max="3809" width="9.85546875" style="177" customWidth="1"/>
    <col min="3810" max="3810" width="16.85546875" style="177" customWidth="1"/>
    <col min="3811" max="3811" width="6.7109375" style="177" customWidth="1"/>
    <col min="3812" max="3812" width="16.5703125" style="177" customWidth="1"/>
    <col min="3813" max="3813" width="11.5703125" style="177" customWidth="1"/>
    <col min="3814" max="3814" width="30.42578125" style="177" customWidth="1"/>
    <col min="3815" max="3815" width="8.28515625" style="177" customWidth="1"/>
    <col min="3816" max="3816" width="6.5703125" style="177" customWidth="1"/>
    <col min="3817" max="3818" width="6.140625" style="177" customWidth="1"/>
    <col min="3819" max="3819" width="13.140625" style="177" customWidth="1"/>
    <col min="3820" max="3821" width="6.28515625" style="177" customWidth="1"/>
    <col min="3822" max="3822" width="10.42578125" style="177" customWidth="1"/>
    <col min="3823" max="3840" width="9.140625" style="177"/>
    <col min="3841" max="3841" width="3.7109375" style="177" customWidth="1"/>
    <col min="3842" max="3842" width="35" style="177" customWidth="1"/>
    <col min="3843" max="3843" width="17.5703125" style="177" customWidth="1"/>
    <col min="3844" max="3844" width="10.140625" style="177" customWidth="1"/>
    <col min="3845" max="3845" width="13.85546875" style="177" customWidth="1"/>
    <col min="3846" max="3846" width="7.7109375" style="177" bestFit="1" customWidth="1"/>
    <col min="3847" max="3847" width="16" style="177" customWidth="1"/>
    <col min="3848" max="3848" width="12.42578125" style="177" customWidth="1"/>
    <col min="3849" max="3849" width="35.85546875" style="177" customWidth="1"/>
    <col min="3850" max="3850" width="8.85546875" style="177" customWidth="1"/>
    <col min="3851" max="3851" width="15.7109375" style="177" customWidth="1"/>
    <col min="3852" max="3853" width="8" style="177" customWidth="1"/>
    <col min="3854" max="3854" width="11" style="177" customWidth="1"/>
    <col min="3855" max="3855" width="14.5703125" style="177" customWidth="1"/>
    <col min="3856" max="3856" width="6.28515625" style="177" customWidth="1"/>
    <col min="3857" max="3857" width="10.42578125" style="177" customWidth="1"/>
    <col min="3858" max="3858" width="17.140625" style="177" customWidth="1"/>
    <col min="3859" max="4061" width="9.140625" style="177"/>
    <col min="4062" max="4062" width="3.7109375" style="177" customWidth="1"/>
    <col min="4063" max="4063" width="32" style="177" customWidth="1"/>
    <col min="4064" max="4064" width="17.5703125" style="177" customWidth="1"/>
    <col min="4065" max="4065" width="9.85546875" style="177" customWidth="1"/>
    <col min="4066" max="4066" width="16.85546875" style="177" customWidth="1"/>
    <col min="4067" max="4067" width="6.7109375" style="177" customWidth="1"/>
    <col min="4068" max="4068" width="16.5703125" style="177" customWidth="1"/>
    <col min="4069" max="4069" width="11.5703125" style="177" customWidth="1"/>
    <col min="4070" max="4070" width="30.42578125" style="177" customWidth="1"/>
    <col min="4071" max="4071" width="8.28515625" style="177" customWidth="1"/>
    <col min="4072" max="4072" width="6.5703125" style="177" customWidth="1"/>
    <col min="4073" max="4074" width="6.140625" style="177" customWidth="1"/>
    <col min="4075" max="4075" width="13.140625" style="177" customWidth="1"/>
    <col min="4076" max="4077" width="6.28515625" style="177" customWidth="1"/>
    <col min="4078" max="4078" width="10.42578125" style="177" customWidth="1"/>
    <col min="4079" max="4096" width="9.140625" style="177"/>
    <col min="4097" max="4097" width="3.7109375" style="177" customWidth="1"/>
    <col min="4098" max="4098" width="35" style="177" customWidth="1"/>
    <col min="4099" max="4099" width="17.5703125" style="177" customWidth="1"/>
    <col min="4100" max="4100" width="10.140625" style="177" customWidth="1"/>
    <col min="4101" max="4101" width="13.85546875" style="177" customWidth="1"/>
    <col min="4102" max="4102" width="7.7109375" style="177" bestFit="1" customWidth="1"/>
    <col min="4103" max="4103" width="16" style="177" customWidth="1"/>
    <col min="4104" max="4104" width="12.42578125" style="177" customWidth="1"/>
    <col min="4105" max="4105" width="35.85546875" style="177" customWidth="1"/>
    <col min="4106" max="4106" width="8.85546875" style="177" customWidth="1"/>
    <col min="4107" max="4107" width="15.7109375" style="177" customWidth="1"/>
    <col min="4108" max="4109" width="8" style="177" customWidth="1"/>
    <col min="4110" max="4110" width="11" style="177" customWidth="1"/>
    <col min="4111" max="4111" width="14.5703125" style="177" customWidth="1"/>
    <col min="4112" max="4112" width="6.28515625" style="177" customWidth="1"/>
    <col min="4113" max="4113" width="10.42578125" style="177" customWidth="1"/>
    <col min="4114" max="4114" width="17.140625" style="177" customWidth="1"/>
    <col min="4115" max="4317" width="9.140625" style="177"/>
    <col min="4318" max="4318" width="3.7109375" style="177" customWidth="1"/>
    <col min="4319" max="4319" width="32" style="177" customWidth="1"/>
    <col min="4320" max="4320" width="17.5703125" style="177" customWidth="1"/>
    <col min="4321" max="4321" width="9.85546875" style="177" customWidth="1"/>
    <col min="4322" max="4322" width="16.85546875" style="177" customWidth="1"/>
    <col min="4323" max="4323" width="6.7109375" style="177" customWidth="1"/>
    <col min="4324" max="4324" width="16.5703125" style="177" customWidth="1"/>
    <col min="4325" max="4325" width="11.5703125" style="177" customWidth="1"/>
    <col min="4326" max="4326" width="30.42578125" style="177" customWidth="1"/>
    <col min="4327" max="4327" width="8.28515625" style="177" customWidth="1"/>
    <col min="4328" max="4328" width="6.5703125" style="177" customWidth="1"/>
    <col min="4329" max="4330" width="6.140625" style="177" customWidth="1"/>
    <col min="4331" max="4331" width="13.140625" style="177" customWidth="1"/>
    <col min="4332" max="4333" width="6.28515625" style="177" customWidth="1"/>
    <col min="4334" max="4334" width="10.42578125" style="177" customWidth="1"/>
    <col min="4335" max="4352" width="9.140625" style="177"/>
    <col min="4353" max="4353" width="3.7109375" style="177" customWidth="1"/>
    <col min="4354" max="4354" width="35" style="177" customWidth="1"/>
    <col min="4355" max="4355" width="17.5703125" style="177" customWidth="1"/>
    <col min="4356" max="4356" width="10.140625" style="177" customWidth="1"/>
    <col min="4357" max="4357" width="13.85546875" style="177" customWidth="1"/>
    <col min="4358" max="4358" width="7.7109375" style="177" bestFit="1" customWidth="1"/>
    <col min="4359" max="4359" width="16" style="177" customWidth="1"/>
    <col min="4360" max="4360" width="12.42578125" style="177" customWidth="1"/>
    <col min="4361" max="4361" width="35.85546875" style="177" customWidth="1"/>
    <col min="4362" max="4362" width="8.85546875" style="177" customWidth="1"/>
    <col min="4363" max="4363" width="15.7109375" style="177" customWidth="1"/>
    <col min="4364" max="4365" width="8" style="177" customWidth="1"/>
    <col min="4366" max="4366" width="11" style="177" customWidth="1"/>
    <col min="4367" max="4367" width="14.5703125" style="177" customWidth="1"/>
    <col min="4368" max="4368" width="6.28515625" style="177" customWidth="1"/>
    <col min="4369" max="4369" width="10.42578125" style="177" customWidth="1"/>
    <col min="4370" max="4370" width="17.140625" style="177" customWidth="1"/>
    <col min="4371" max="4573" width="9.140625" style="177"/>
    <col min="4574" max="4574" width="3.7109375" style="177" customWidth="1"/>
    <col min="4575" max="4575" width="32" style="177" customWidth="1"/>
    <col min="4576" max="4576" width="17.5703125" style="177" customWidth="1"/>
    <col min="4577" max="4577" width="9.85546875" style="177" customWidth="1"/>
    <col min="4578" max="4578" width="16.85546875" style="177" customWidth="1"/>
    <col min="4579" max="4579" width="6.7109375" style="177" customWidth="1"/>
    <col min="4580" max="4580" width="16.5703125" style="177" customWidth="1"/>
    <col min="4581" max="4581" width="11.5703125" style="177" customWidth="1"/>
    <col min="4582" max="4582" width="30.42578125" style="177" customWidth="1"/>
    <col min="4583" max="4583" width="8.28515625" style="177" customWidth="1"/>
    <col min="4584" max="4584" width="6.5703125" style="177" customWidth="1"/>
    <col min="4585" max="4586" width="6.140625" style="177" customWidth="1"/>
    <col min="4587" max="4587" width="13.140625" style="177" customWidth="1"/>
    <col min="4588" max="4589" width="6.28515625" style="177" customWidth="1"/>
    <col min="4590" max="4590" width="10.42578125" style="177" customWidth="1"/>
    <col min="4591" max="4608" width="9.140625" style="177"/>
    <col min="4609" max="4609" width="3.7109375" style="177" customWidth="1"/>
    <col min="4610" max="4610" width="35" style="177" customWidth="1"/>
    <col min="4611" max="4611" width="17.5703125" style="177" customWidth="1"/>
    <col min="4612" max="4612" width="10.140625" style="177" customWidth="1"/>
    <col min="4613" max="4613" width="13.85546875" style="177" customWidth="1"/>
    <col min="4614" max="4614" width="7.7109375" style="177" bestFit="1" customWidth="1"/>
    <col min="4615" max="4615" width="16" style="177" customWidth="1"/>
    <col min="4616" max="4616" width="12.42578125" style="177" customWidth="1"/>
    <col min="4617" max="4617" width="35.85546875" style="177" customWidth="1"/>
    <col min="4618" max="4618" width="8.85546875" style="177" customWidth="1"/>
    <col min="4619" max="4619" width="15.7109375" style="177" customWidth="1"/>
    <col min="4620" max="4621" width="8" style="177" customWidth="1"/>
    <col min="4622" max="4622" width="11" style="177" customWidth="1"/>
    <col min="4623" max="4623" width="14.5703125" style="177" customWidth="1"/>
    <col min="4624" max="4624" width="6.28515625" style="177" customWidth="1"/>
    <col min="4625" max="4625" width="10.42578125" style="177" customWidth="1"/>
    <col min="4626" max="4626" width="17.140625" style="177" customWidth="1"/>
    <col min="4627" max="4829" width="9.140625" style="177"/>
    <col min="4830" max="4830" width="3.7109375" style="177" customWidth="1"/>
    <col min="4831" max="4831" width="32" style="177" customWidth="1"/>
    <col min="4832" max="4832" width="17.5703125" style="177" customWidth="1"/>
    <col min="4833" max="4833" width="9.85546875" style="177" customWidth="1"/>
    <col min="4834" max="4834" width="16.85546875" style="177" customWidth="1"/>
    <col min="4835" max="4835" width="6.7109375" style="177" customWidth="1"/>
    <col min="4836" max="4836" width="16.5703125" style="177" customWidth="1"/>
    <col min="4837" max="4837" width="11.5703125" style="177" customWidth="1"/>
    <col min="4838" max="4838" width="30.42578125" style="177" customWidth="1"/>
    <col min="4839" max="4839" width="8.28515625" style="177" customWidth="1"/>
    <col min="4840" max="4840" width="6.5703125" style="177" customWidth="1"/>
    <col min="4841" max="4842" width="6.140625" style="177" customWidth="1"/>
    <col min="4843" max="4843" width="13.140625" style="177" customWidth="1"/>
    <col min="4844" max="4845" width="6.28515625" style="177" customWidth="1"/>
    <col min="4846" max="4846" width="10.42578125" style="177" customWidth="1"/>
    <col min="4847" max="4864" width="9.140625" style="177"/>
    <col min="4865" max="4865" width="3.7109375" style="177" customWidth="1"/>
    <col min="4866" max="4866" width="35" style="177" customWidth="1"/>
    <col min="4867" max="4867" width="17.5703125" style="177" customWidth="1"/>
    <col min="4868" max="4868" width="10.140625" style="177" customWidth="1"/>
    <col min="4869" max="4869" width="13.85546875" style="177" customWidth="1"/>
    <col min="4870" max="4870" width="7.7109375" style="177" bestFit="1" customWidth="1"/>
    <col min="4871" max="4871" width="16" style="177" customWidth="1"/>
    <col min="4872" max="4872" width="12.42578125" style="177" customWidth="1"/>
    <col min="4873" max="4873" width="35.85546875" style="177" customWidth="1"/>
    <col min="4874" max="4874" width="8.85546875" style="177" customWidth="1"/>
    <col min="4875" max="4875" width="15.7109375" style="177" customWidth="1"/>
    <col min="4876" max="4877" width="8" style="177" customWidth="1"/>
    <col min="4878" max="4878" width="11" style="177" customWidth="1"/>
    <col min="4879" max="4879" width="14.5703125" style="177" customWidth="1"/>
    <col min="4880" max="4880" width="6.28515625" style="177" customWidth="1"/>
    <col min="4881" max="4881" width="10.42578125" style="177" customWidth="1"/>
    <col min="4882" max="4882" width="17.140625" style="177" customWidth="1"/>
    <col min="4883" max="5085" width="9.140625" style="177"/>
    <col min="5086" max="5086" width="3.7109375" style="177" customWidth="1"/>
    <col min="5087" max="5087" width="32" style="177" customWidth="1"/>
    <col min="5088" max="5088" width="17.5703125" style="177" customWidth="1"/>
    <col min="5089" max="5089" width="9.85546875" style="177" customWidth="1"/>
    <col min="5090" max="5090" width="16.85546875" style="177" customWidth="1"/>
    <col min="5091" max="5091" width="6.7109375" style="177" customWidth="1"/>
    <col min="5092" max="5092" width="16.5703125" style="177" customWidth="1"/>
    <col min="5093" max="5093" width="11.5703125" style="177" customWidth="1"/>
    <col min="5094" max="5094" width="30.42578125" style="177" customWidth="1"/>
    <col min="5095" max="5095" width="8.28515625" style="177" customWidth="1"/>
    <col min="5096" max="5096" width="6.5703125" style="177" customWidth="1"/>
    <col min="5097" max="5098" width="6.140625" style="177" customWidth="1"/>
    <col min="5099" max="5099" width="13.140625" style="177" customWidth="1"/>
    <col min="5100" max="5101" width="6.28515625" style="177" customWidth="1"/>
    <col min="5102" max="5102" width="10.42578125" style="177" customWidth="1"/>
    <col min="5103" max="5120" width="9.140625" style="177"/>
    <col min="5121" max="5121" width="3.7109375" style="177" customWidth="1"/>
    <col min="5122" max="5122" width="35" style="177" customWidth="1"/>
    <col min="5123" max="5123" width="17.5703125" style="177" customWidth="1"/>
    <col min="5124" max="5124" width="10.140625" style="177" customWidth="1"/>
    <col min="5125" max="5125" width="13.85546875" style="177" customWidth="1"/>
    <col min="5126" max="5126" width="7.7109375" style="177" bestFit="1" customWidth="1"/>
    <col min="5127" max="5127" width="16" style="177" customWidth="1"/>
    <col min="5128" max="5128" width="12.42578125" style="177" customWidth="1"/>
    <col min="5129" max="5129" width="35.85546875" style="177" customWidth="1"/>
    <col min="5130" max="5130" width="8.85546875" style="177" customWidth="1"/>
    <col min="5131" max="5131" width="15.7109375" style="177" customWidth="1"/>
    <col min="5132" max="5133" width="8" style="177" customWidth="1"/>
    <col min="5134" max="5134" width="11" style="177" customWidth="1"/>
    <col min="5135" max="5135" width="14.5703125" style="177" customWidth="1"/>
    <col min="5136" max="5136" width="6.28515625" style="177" customWidth="1"/>
    <col min="5137" max="5137" width="10.42578125" style="177" customWidth="1"/>
    <col min="5138" max="5138" width="17.140625" style="177" customWidth="1"/>
    <col min="5139" max="5341" width="9.140625" style="177"/>
    <col min="5342" max="5342" width="3.7109375" style="177" customWidth="1"/>
    <col min="5343" max="5343" width="32" style="177" customWidth="1"/>
    <col min="5344" max="5344" width="17.5703125" style="177" customWidth="1"/>
    <col min="5345" max="5345" width="9.85546875" style="177" customWidth="1"/>
    <col min="5346" max="5346" width="16.85546875" style="177" customWidth="1"/>
    <col min="5347" max="5347" width="6.7109375" style="177" customWidth="1"/>
    <col min="5348" max="5348" width="16.5703125" style="177" customWidth="1"/>
    <col min="5349" max="5349" width="11.5703125" style="177" customWidth="1"/>
    <col min="5350" max="5350" width="30.42578125" style="177" customWidth="1"/>
    <col min="5351" max="5351" width="8.28515625" style="177" customWidth="1"/>
    <col min="5352" max="5352" width="6.5703125" style="177" customWidth="1"/>
    <col min="5353" max="5354" width="6.140625" style="177" customWidth="1"/>
    <col min="5355" max="5355" width="13.140625" style="177" customWidth="1"/>
    <col min="5356" max="5357" width="6.28515625" style="177" customWidth="1"/>
    <col min="5358" max="5358" width="10.42578125" style="177" customWidth="1"/>
    <col min="5359" max="5376" width="9.140625" style="177"/>
    <col min="5377" max="5377" width="3.7109375" style="177" customWidth="1"/>
    <col min="5378" max="5378" width="35" style="177" customWidth="1"/>
    <col min="5379" max="5379" width="17.5703125" style="177" customWidth="1"/>
    <col min="5380" max="5380" width="10.140625" style="177" customWidth="1"/>
    <col min="5381" max="5381" width="13.85546875" style="177" customWidth="1"/>
    <col min="5382" max="5382" width="7.7109375" style="177" bestFit="1" customWidth="1"/>
    <col min="5383" max="5383" width="16" style="177" customWidth="1"/>
    <col min="5384" max="5384" width="12.42578125" style="177" customWidth="1"/>
    <col min="5385" max="5385" width="35.85546875" style="177" customWidth="1"/>
    <col min="5386" max="5386" width="8.85546875" style="177" customWidth="1"/>
    <col min="5387" max="5387" width="15.7109375" style="177" customWidth="1"/>
    <col min="5388" max="5389" width="8" style="177" customWidth="1"/>
    <col min="5390" max="5390" width="11" style="177" customWidth="1"/>
    <col min="5391" max="5391" width="14.5703125" style="177" customWidth="1"/>
    <col min="5392" max="5392" width="6.28515625" style="177" customWidth="1"/>
    <col min="5393" max="5393" width="10.42578125" style="177" customWidth="1"/>
    <col min="5394" max="5394" width="17.140625" style="177" customWidth="1"/>
    <col min="5395" max="5597" width="9.140625" style="177"/>
    <col min="5598" max="5598" width="3.7109375" style="177" customWidth="1"/>
    <col min="5599" max="5599" width="32" style="177" customWidth="1"/>
    <col min="5600" max="5600" width="17.5703125" style="177" customWidth="1"/>
    <col min="5601" max="5601" width="9.85546875" style="177" customWidth="1"/>
    <col min="5602" max="5602" width="16.85546875" style="177" customWidth="1"/>
    <col min="5603" max="5603" width="6.7109375" style="177" customWidth="1"/>
    <col min="5604" max="5604" width="16.5703125" style="177" customWidth="1"/>
    <col min="5605" max="5605" width="11.5703125" style="177" customWidth="1"/>
    <col min="5606" max="5606" width="30.42578125" style="177" customWidth="1"/>
    <col min="5607" max="5607" width="8.28515625" style="177" customWidth="1"/>
    <col min="5608" max="5608" width="6.5703125" style="177" customWidth="1"/>
    <col min="5609" max="5610" width="6.140625" style="177" customWidth="1"/>
    <col min="5611" max="5611" width="13.140625" style="177" customWidth="1"/>
    <col min="5612" max="5613" width="6.28515625" style="177" customWidth="1"/>
    <col min="5614" max="5614" width="10.42578125" style="177" customWidth="1"/>
    <col min="5615" max="5632" width="9.140625" style="177"/>
    <col min="5633" max="5633" width="3.7109375" style="177" customWidth="1"/>
    <col min="5634" max="5634" width="35" style="177" customWidth="1"/>
    <col min="5635" max="5635" width="17.5703125" style="177" customWidth="1"/>
    <col min="5636" max="5636" width="10.140625" style="177" customWidth="1"/>
    <col min="5637" max="5637" width="13.85546875" style="177" customWidth="1"/>
    <col min="5638" max="5638" width="7.7109375" style="177" bestFit="1" customWidth="1"/>
    <col min="5639" max="5639" width="16" style="177" customWidth="1"/>
    <col min="5640" max="5640" width="12.42578125" style="177" customWidth="1"/>
    <col min="5641" max="5641" width="35.85546875" style="177" customWidth="1"/>
    <col min="5642" max="5642" width="8.85546875" style="177" customWidth="1"/>
    <col min="5643" max="5643" width="15.7109375" style="177" customWidth="1"/>
    <col min="5644" max="5645" width="8" style="177" customWidth="1"/>
    <col min="5646" max="5646" width="11" style="177" customWidth="1"/>
    <col min="5647" max="5647" width="14.5703125" style="177" customWidth="1"/>
    <col min="5648" max="5648" width="6.28515625" style="177" customWidth="1"/>
    <col min="5649" max="5649" width="10.42578125" style="177" customWidth="1"/>
    <col min="5650" max="5650" width="17.140625" style="177" customWidth="1"/>
    <col min="5651" max="5853" width="9.140625" style="177"/>
    <col min="5854" max="5854" width="3.7109375" style="177" customWidth="1"/>
    <col min="5855" max="5855" width="32" style="177" customWidth="1"/>
    <col min="5856" max="5856" width="17.5703125" style="177" customWidth="1"/>
    <col min="5857" max="5857" width="9.85546875" style="177" customWidth="1"/>
    <col min="5858" max="5858" width="16.85546875" style="177" customWidth="1"/>
    <col min="5859" max="5859" width="6.7109375" style="177" customWidth="1"/>
    <col min="5860" max="5860" width="16.5703125" style="177" customWidth="1"/>
    <col min="5861" max="5861" width="11.5703125" style="177" customWidth="1"/>
    <col min="5862" max="5862" width="30.42578125" style="177" customWidth="1"/>
    <col min="5863" max="5863" width="8.28515625" style="177" customWidth="1"/>
    <col min="5864" max="5864" width="6.5703125" style="177" customWidth="1"/>
    <col min="5865" max="5866" width="6.140625" style="177" customWidth="1"/>
    <col min="5867" max="5867" width="13.140625" style="177" customWidth="1"/>
    <col min="5868" max="5869" width="6.28515625" style="177" customWidth="1"/>
    <col min="5870" max="5870" width="10.42578125" style="177" customWidth="1"/>
    <col min="5871" max="5888" width="9.140625" style="177"/>
    <col min="5889" max="5889" width="3.7109375" style="177" customWidth="1"/>
    <col min="5890" max="5890" width="35" style="177" customWidth="1"/>
    <col min="5891" max="5891" width="17.5703125" style="177" customWidth="1"/>
    <col min="5892" max="5892" width="10.140625" style="177" customWidth="1"/>
    <col min="5893" max="5893" width="13.85546875" style="177" customWidth="1"/>
    <col min="5894" max="5894" width="7.7109375" style="177" bestFit="1" customWidth="1"/>
    <col min="5895" max="5895" width="16" style="177" customWidth="1"/>
    <col min="5896" max="5896" width="12.42578125" style="177" customWidth="1"/>
    <col min="5897" max="5897" width="35.85546875" style="177" customWidth="1"/>
    <col min="5898" max="5898" width="8.85546875" style="177" customWidth="1"/>
    <col min="5899" max="5899" width="15.7109375" style="177" customWidth="1"/>
    <col min="5900" max="5901" width="8" style="177" customWidth="1"/>
    <col min="5902" max="5902" width="11" style="177" customWidth="1"/>
    <col min="5903" max="5903" width="14.5703125" style="177" customWidth="1"/>
    <col min="5904" max="5904" width="6.28515625" style="177" customWidth="1"/>
    <col min="5905" max="5905" width="10.42578125" style="177" customWidth="1"/>
    <col min="5906" max="5906" width="17.140625" style="177" customWidth="1"/>
    <col min="5907" max="6109" width="9.140625" style="177"/>
    <col min="6110" max="6110" width="3.7109375" style="177" customWidth="1"/>
    <col min="6111" max="6111" width="32" style="177" customWidth="1"/>
    <col min="6112" max="6112" width="17.5703125" style="177" customWidth="1"/>
    <col min="6113" max="6113" width="9.85546875" style="177" customWidth="1"/>
    <col min="6114" max="6114" width="16.85546875" style="177" customWidth="1"/>
    <col min="6115" max="6115" width="6.7109375" style="177" customWidth="1"/>
    <col min="6116" max="6116" width="16.5703125" style="177" customWidth="1"/>
    <col min="6117" max="6117" width="11.5703125" style="177" customWidth="1"/>
    <col min="6118" max="6118" width="30.42578125" style="177" customWidth="1"/>
    <col min="6119" max="6119" width="8.28515625" style="177" customWidth="1"/>
    <col min="6120" max="6120" width="6.5703125" style="177" customWidth="1"/>
    <col min="6121" max="6122" width="6.140625" style="177" customWidth="1"/>
    <col min="6123" max="6123" width="13.140625" style="177" customWidth="1"/>
    <col min="6124" max="6125" width="6.28515625" style="177" customWidth="1"/>
    <col min="6126" max="6126" width="10.42578125" style="177" customWidth="1"/>
    <col min="6127" max="6144" width="9.140625" style="177"/>
    <col min="6145" max="6145" width="3.7109375" style="177" customWidth="1"/>
    <col min="6146" max="6146" width="35" style="177" customWidth="1"/>
    <col min="6147" max="6147" width="17.5703125" style="177" customWidth="1"/>
    <col min="6148" max="6148" width="10.140625" style="177" customWidth="1"/>
    <col min="6149" max="6149" width="13.85546875" style="177" customWidth="1"/>
    <col min="6150" max="6150" width="7.7109375" style="177" bestFit="1" customWidth="1"/>
    <col min="6151" max="6151" width="16" style="177" customWidth="1"/>
    <col min="6152" max="6152" width="12.42578125" style="177" customWidth="1"/>
    <col min="6153" max="6153" width="35.85546875" style="177" customWidth="1"/>
    <col min="6154" max="6154" width="8.85546875" style="177" customWidth="1"/>
    <col min="6155" max="6155" width="15.7109375" style="177" customWidth="1"/>
    <col min="6156" max="6157" width="8" style="177" customWidth="1"/>
    <col min="6158" max="6158" width="11" style="177" customWidth="1"/>
    <col min="6159" max="6159" width="14.5703125" style="177" customWidth="1"/>
    <col min="6160" max="6160" width="6.28515625" style="177" customWidth="1"/>
    <col min="6161" max="6161" width="10.42578125" style="177" customWidth="1"/>
    <col min="6162" max="6162" width="17.140625" style="177" customWidth="1"/>
    <col min="6163" max="6365" width="9.140625" style="177"/>
    <col min="6366" max="6366" width="3.7109375" style="177" customWidth="1"/>
    <col min="6367" max="6367" width="32" style="177" customWidth="1"/>
    <col min="6368" max="6368" width="17.5703125" style="177" customWidth="1"/>
    <col min="6369" max="6369" width="9.85546875" style="177" customWidth="1"/>
    <col min="6370" max="6370" width="16.85546875" style="177" customWidth="1"/>
    <col min="6371" max="6371" width="6.7109375" style="177" customWidth="1"/>
    <col min="6372" max="6372" width="16.5703125" style="177" customWidth="1"/>
    <col min="6373" max="6373" width="11.5703125" style="177" customWidth="1"/>
    <col min="6374" max="6374" width="30.42578125" style="177" customWidth="1"/>
    <col min="6375" max="6375" width="8.28515625" style="177" customWidth="1"/>
    <col min="6376" max="6376" width="6.5703125" style="177" customWidth="1"/>
    <col min="6377" max="6378" width="6.140625" style="177" customWidth="1"/>
    <col min="6379" max="6379" width="13.140625" style="177" customWidth="1"/>
    <col min="6380" max="6381" width="6.28515625" style="177" customWidth="1"/>
    <col min="6382" max="6382" width="10.42578125" style="177" customWidth="1"/>
    <col min="6383" max="6400" width="9.140625" style="177"/>
    <col min="6401" max="6401" width="3.7109375" style="177" customWidth="1"/>
    <col min="6402" max="6402" width="35" style="177" customWidth="1"/>
    <col min="6403" max="6403" width="17.5703125" style="177" customWidth="1"/>
    <col min="6404" max="6404" width="10.140625" style="177" customWidth="1"/>
    <col min="6405" max="6405" width="13.85546875" style="177" customWidth="1"/>
    <col min="6406" max="6406" width="7.7109375" style="177" bestFit="1" customWidth="1"/>
    <col min="6407" max="6407" width="16" style="177" customWidth="1"/>
    <col min="6408" max="6408" width="12.42578125" style="177" customWidth="1"/>
    <col min="6409" max="6409" width="35.85546875" style="177" customWidth="1"/>
    <col min="6410" max="6410" width="8.85546875" style="177" customWidth="1"/>
    <col min="6411" max="6411" width="15.7109375" style="177" customWidth="1"/>
    <col min="6412" max="6413" width="8" style="177" customWidth="1"/>
    <col min="6414" max="6414" width="11" style="177" customWidth="1"/>
    <col min="6415" max="6415" width="14.5703125" style="177" customWidth="1"/>
    <col min="6416" max="6416" width="6.28515625" style="177" customWidth="1"/>
    <col min="6417" max="6417" width="10.42578125" style="177" customWidth="1"/>
    <col min="6418" max="6418" width="17.140625" style="177" customWidth="1"/>
    <col min="6419" max="6621" width="9.140625" style="177"/>
    <col min="6622" max="6622" width="3.7109375" style="177" customWidth="1"/>
    <col min="6623" max="6623" width="32" style="177" customWidth="1"/>
    <col min="6624" max="6624" width="17.5703125" style="177" customWidth="1"/>
    <col min="6625" max="6625" width="9.85546875" style="177" customWidth="1"/>
    <col min="6626" max="6626" width="16.85546875" style="177" customWidth="1"/>
    <col min="6627" max="6627" width="6.7109375" style="177" customWidth="1"/>
    <col min="6628" max="6628" width="16.5703125" style="177" customWidth="1"/>
    <col min="6629" max="6629" width="11.5703125" style="177" customWidth="1"/>
    <col min="6630" max="6630" width="30.42578125" style="177" customWidth="1"/>
    <col min="6631" max="6631" width="8.28515625" style="177" customWidth="1"/>
    <col min="6632" max="6632" width="6.5703125" style="177" customWidth="1"/>
    <col min="6633" max="6634" width="6.140625" style="177" customWidth="1"/>
    <col min="6635" max="6635" width="13.140625" style="177" customWidth="1"/>
    <col min="6636" max="6637" width="6.28515625" style="177" customWidth="1"/>
    <col min="6638" max="6638" width="10.42578125" style="177" customWidth="1"/>
    <col min="6639" max="6656" width="9.140625" style="177"/>
    <col min="6657" max="6657" width="3.7109375" style="177" customWidth="1"/>
    <col min="6658" max="6658" width="35" style="177" customWidth="1"/>
    <col min="6659" max="6659" width="17.5703125" style="177" customWidth="1"/>
    <col min="6660" max="6660" width="10.140625" style="177" customWidth="1"/>
    <col min="6661" max="6661" width="13.85546875" style="177" customWidth="1"/>
    <col min="6662" max="6662" width="7.7109375" style="177" bestFit="1" customWidth="1"/>
    <col min="6663" max="6663" width="16" style="177" customWidth="1"/>
    <col min="6664" max="6664" width="12.42578125" style="177" customWidth="1"/>
    <col min="6665" max="6665" width="35.85546875" style="177" customWidth="1"/>
    <col min="6666" max="6666" width="8.85546875" style="177" customWidth="1"/>
    <col min="6667" max="6667" width="15.7109375" style="177" customWidth="1"/>
    <col min="6668" max="6669" width="8" style="177" customWidth="1"/>
    <col min="6670" max="6670" width="11" style="177" customWidth="1"/>
    <col min="6671" max="6671" width="14.5703125" style="177" customWidth="1"/>
    <col min="6672" max="6672" width="6.28515625" style="177" customWidth="1"/>
    <col min="6673" max="6673" width="10.42578125" style="177" customWidth="1"/>
    <col min="6674" max="6674" width="17.140625" style="177" customWidth="1"/>
    <col min="6675" max="6877" width="9.140625" style="177"/>
    <col min="6878" max="6878" width="3.7109375" style="177" customWidth="1"/>
    <col min="6879" max="6879" width="32" style="177" customWidth="1"/>
    <col min="6880" max="6880" width="17.5703125" style="177" customWidth="1"/>
    <col min="6881" max="6881" width="9.85546875" style="177" customWidth="1"/>
    <col min="6882" max="6882" width="16.85546875" style="177" customWidth="1"/>
    <col min="6883" max="6883" width="6.7109375" style="177" customWidth="1"/>
    <col min="6884" max="6884" width="16.5703125" style="177" customWidth="1"/>
    <col min="6885" max="6885" width="11.5703125" style="177" customWidth="1"/>
    <col min="6886" max="6886" width="30.42578125" style="177" customWidth="1"/>
    <col min="6887" max="6887" width="8.28515625" style="177" customWidth="1"/>
    <col min="6888" max="6888" width="6.5703125" style="177" customWidth="1"/>
    <col min="6889" max="6890" width="6.140625" style="177" customWidth="1"/>
    <col min="6891" max="6891" width="13.140625" style="177" customWidth="1"/>
    <col min="6892" max="6893" width="6.28515625" style="177" customWidth="1"/>
    <col min="6894" max="6894" width="10.42578125" style="177" customWidth="1"/>
    <col min="6895" max="6912" width="9.140625" style="177"/>
    <col min="6913" max="6913" width="3.7109375" style="177" customWidth="1"/>
    <col min="6914" max="6914" width="35" style="177" customWidth="1"/>
    <col min="6915" max="6915" width="17.5703125" style="177" customWidth="1"/>
    <col min="6916" max="6916" width="10.140625" style="177" customWidth="1"/>
    <col min="6917" max="6917" width="13.85546875" style="177" customWidth="1"/>
    <col min="6918" max="6918" width="7.7109375" style="177" bestFit="1" customWidth="1"/>
    <col min="6919" max="6919" width="16" style="177" customWidth="1"/>
    <col min="6920" max="6920" width="12.42578125" style="177" customWidth="1"/>
    <col min="6921" max="6921" width="35.85546875" style="177" customWidth="1"/>
    <col min="6922" max="6922" width="8.85546875" style="177" customWidth="1"/>
    <col min="6923" max="6923" width="15.7109375" style="177" customWidth="1"/>
    <col min="6924" max="6925" width="8" style="177" customWidth="1"/>
    <col min="6926" max="6926" width="11" style="177" customWidth="1"/>
    <col min="6927" max="6927" width="14.5703125" style="177" customWidth="1"/>
    <col min="6928" max="6928" width="6.28515625" style="177" customWidth="1"/>
    <col min="6929" max="6929" width="10.42578125" style="177" customWidth="1"/>
    <col min="6930" max="6930" width="17.140625" style="177" customWidth="1"/>
    <col min="6931" max="7133" width="9.140625" style="177"/>
    <col min="7134" max="7134" width="3.7109375" style="177" customWidth="1"/>
    <col min="7135" max="7135" width="32" style="177" customWidth="1"/>
    <col min="7136" max="7136" width="17.5703125" style="177" customWidth="1"/>
    <col min="7137" max="7137" width="9.85546875" style="177" customWidth="1"/>
    <col min="7138" max="7138" width="16.85546875" style="177" customWidth="1"/>
    <col min="7139" max="7139" width="6.7109375" style="177" customWidth="1"/>
    <col min="7140" max="7140" width="16.5703125" style="177" customWidth="1"/>
    <col min="7141" max="7141" width="11.5703125" style="177" customWidth="1"/>
    <col min="7142" max="7142" width="30.42578125" style="177" customWidth="1"/>
    <col min="7143" max="7143" width="8.28515625" style="177" customWidth="1"/>
    <col min="7144" max="7144" width="6.5703125" style="177" customWidth="1"/>
    <col min="7145" max="7146" width="6.140625" style="177" customWidth="1"/>
    <col min="7147" max="7147" width="13.140625" style="177" customWidth="1"/>
    <col min="7148" max="7149" width="6.28515625" style="177" customWidth="1"/>
    <col min="7150" max="7150" width="10.42578125" style="177" customWidth="1"/>
    <col min="7151" max="7168" width="9.140625" style="177"/>
    <col min="7169" max="7169" width="3.7109375" style="177" customWidth="1"/>
    <col min="7170" max="7170" width="35" style="177" customWidth="1"/>
    <col min="7171" max="7171" width="17.5703125" style="177" customWidth="1"/>
    <col min="7172" max="7172" width="10.140625" style="177" customWidth="1"/>
    <col min="7173" max="7173" width="13.85546875" style="177" customWidth="1"/>
    <col min="7174" max="7174" width="7.7109375" style="177" bestFit="1" customWidth="1"/>
    <col min="7175" max="7175" width="16" style="177" customWidth="1"/>
    <col min="7176" max="7176" width="12.42578125" style="177" customWidth="1"/>
    <col min="7177" max="7177" width="35.85546875" style="177" customWidth="1"/>
    <col min="7178" max="7178" width="8.85546875" style="177" customWidth="1"/>
    <col min="7179" max="7179" width="15.7109375" style="177" customWidth="1"/>
    <col min="7180" max="7181" width="8" style="177" customWidth="1"/>
    <col min="7182" max="7182" width="11" style="177" customWidth="1"/>
    <col min="7183" max="7183" width="14.5703125" style="177" customWidth="1"/>
    <col min="7184" max="7184" width="6.28515625" style="177" customWidth="1"/>
    <col min="7185" max="7185" width="10.42578125" style="177" customWidth="1"/>
    <col min="7186" max="7186" width="17.140625" style="177" customWidth="1"/>
    <col min="7187" max="7389" width="9.140625" style="177"/>
    <col min="7390" max="7390" width="3.7109375" style="177" customWidth="1"/>
    <col min="7391" max="7391" width="32" style="177" customWidth="1"/>
    <col min="7392" max="7392" width="17.5703125" style="177" customWidth="1"/>
    <col min="7393" max="7393" width="9.85546875" style="177" customWidth="1"/>
    <col min="7394" max="7394" width="16.85546875" style="177" customWidth="1"/>
    <col min="7395" max="7395" width="6.7109375" style="177" customWidth="1"/>
    <col min="7396" max="7396" width="16.5703125" style="177" customWidth="1"/>
    <col min="7397" max="7397" width="11.5703125" style="177" customWidth="1"/>
    <col min="7398" max="7398" width="30.42578125" style="177" customWidth="1"/>
    <col min="7399" max="7399" width="8.28515625" style="177" customWidth="1"/>
    <col min="7400" max="7400" width="6.5703125" style="177" customWidth="1"/>
    <col min="7401" max="7402" width="6.140625" style="177" customWidth="1"/>
    <col min="7403" max="7403" width="13.140625" style="177" customWidth="1"/>
    <col min="7404" max="7405" width="6.28515625" style="177" customWidth="1"/>
    <col min="7406" max="7406" width="10.42578125" style="177" customWidth="1"/>
    <col min="7407" max="7424" width="9.140625" style="177"/>
    <col min="7425" max="7425" width="3.7109375" style="177" customWidth="1"/>
    <col min="7426" max="7426" width="35" style="177" customWidth="1"/>
    <col min="7427" max="7427" width="17.5703125" style="177" customWidth="1"/>
    <col min="7428" max="7428" width="10.140625" style="177" customWidth="1"/>
    <col min="7429" max="7429" width="13.85546875" style="177" customWidth="1"/>
    <col min="7430" max="7430" width="7.7109375" style="177" bestFit="1" customWidth="1"/>
    <col min="7431" max="7431" width="16" style="177" customWidth="1"/>
    <col min="7432" max="7432" width="12.42578125" style="177" customWidth="1"/>
    <col min="7433" max="7433" width="35.85546875" style="177" customWidth="1"/>
    <col min="7434" max="7434" width="8.85546875" style="177" customWidth="1"/>
    <col min="7435" max="7435" width="15.7109375" style="177" customWidth="1"/>
    <col min="7436" max="7437" width="8" style="177" customWidth="1"/>
    <col min="7438" max="7438" width="11" style="177" customWidth="1"/>
    <col min="7439" max="7439" width="14.5703125" style="177" customWidth="1"/>
    <col min="7440" max="7440" width="6.28515625" style="177" customWidth="1"/>
    <col min="7441" max="7441" width="10.42578125" style="177" customWidth="1"/>
    <col min="7442" max="7442" width="17.140625" style="177" customWidth="1"/>
    <col min="7443" max="7645" width="9.140625" style="177"/>
    <col min="7646" max="7646" width="3.7109375" style="177" customWidth="1"/>
    <col min="7647" max="7647" width="32" style="177" customWidth="1"/>
    <col min="7648" max="7648" width="17.5703125" style="177" customWidth="1"/>
    <col min="7649" max="7649" width="9.85546875" style="177" customWidth="1"/>
    <col min="7650" max="7650" width="16.85546875" style="177" customWidth="1"/>
    <col min="7651" max="7651" width="6.7109375" style="177" customWidth="1"/>
    <col min="7652" max="7652" width="16.5703125" style="177" customWidth="1"/>
    <col min="7653" max="7653" width="11.5703125" style="177" customWidth="1"/>
    <col min="7654" max="7654" width="30.42578125" style="177" customWidth="1"/>
    <col min="7655" max="7655" width="8.28515625" style="177" customWidth="1"/>
    <col min="7656" max="7656" width="6.5703125" style="177" customWidth="1"/>
    <col min="7657" max="7658" width="6.140625" style="177" customWidth="1"/>
    <col min="7659" max="7659" width="13.140625" style="177" customWidth="1"/>
    <col min="7660" max="7661" width="6.28515625" style="177" customWidth="1"/>
    <col min="7662" max="7662" width="10.42578125" style="177" customWidth="1"/>
    <col min="7663" max="7680" width="9.140625" style="177"/>
    <col min="7681" max="7681" width="3.7109375" style="177" customWidth="1"/>
    <col min="7682" max="7682" width="35" style="177" customWidth="1"/>
    <col min="7683" max="7683" width="17.5703125" style="177" customWidth="1"/>
    <col min="7684" max="7684" width="10.140625" style="177" customWidth="1"/>
    <col min="7685" max="7685" width="13.85546875" style="177" customWidth="1"/>
    <col min="7686" max="7686" width="7.7109375" style="177" bestFit="1" customWidth="1"/>
    <col min="7687" max="7687" width="16" style="177" customWidth="1"/>
    <col min="7688" max="7688" width="12.42578125" style="177" customWidth="1"/>
    <col min="7689" max="7689" width="35.85546875" style="177" customWidth="1"/>
    <col min="7690" max="7690" width="8.85546875" style="177" customWidth="1"/>
    <col min="7691" max="7691" width="15.7109375" style="177" customWidth="1"/>
    <col min="7692" max="7693" width="8" style="177" customWidth="1"/>
    <col min="7694" max="7694" width="11" style="177" customWidth="1"/>
    <col min="7695" max="7695" width="14.5703125" style="177" customWidth="1"/>
    <col min="7696" max="7696" width="6.28515625" style="177" customWidth="1"/>
    <col min="7697" max="7697" width="10.42578125" style="177" customWidth="1"/>
    <col min="7698" max="7698" width="17.140625" style="177" customWidth="1"/>
    <col min="7699" max="7901" width="9.140625" style="177"/>
    <col min="7902" max="7902" width="3.7109375" style="177" customWidth="1"/>
    <col min="7903" max="7903" width="32" style="177" customWidth="1"/>
    <col min="7904" max="7904" width="17.5703125" style="177" customWidth="1"/>
    <col min="7905" max="7905" width="9.85546875" style="177" customWidth="1"/>
    <col min="7906" max="7906" width="16.85546875" style="177" customWidth="1"/>
    <col min="7907" max="7907" width="6.7109375" style="177" customWidth="1"/>
    <col min="7908" max="7908" width="16.5703125" style="177" customWidth="1"/>
    <col min="7909" max="7909" width="11.5703125" style="177" customWidth="1"/>
    <col min="7910" max="7910" width="30.42578125" style="177" customWidth="1"/>
    <col min="7911" max="7911" width="8.28515625" style="177" customWidth="1"/>
    <col min="7912" max="7912" width="6.5703125" style="177" customWidth="1"/>
    <col min="7913" max="7914" width="6.140625" style="177" customWidth="1"/>
    <col min="7915" max="7915" width="13.140625" style="177" customWidth="1"/>
    <col min="7916" max="7917" width="6.28515625" style="177" customWidth="1"/>
    <col min="7918" max="7918" width="10.42578125" style="177" customWidth="1"/>
    <col min="7919" max="7936" width="9.140625" style="177"/>
    <col min="7937" max="7937" width="3.7109375" style="177" customWidth="1"/>
    <col min="7938" max="7938" width="35" style="177" customWidth="1"/>
    <col min="7939" max="7939" width="17.5703125" style="177" customWidth="1"/>
    <col min="7940" max="7940" width="10.140625" style="177" customWidth="1"/>
    <col min="7941" max="7941" width="13.85546875" style="177" customWidth="1"/>
    <col min="7942" max="7942" width="7.7109375" style="177" bestFit="1" customWidth="1"/>
    <col min="7943" max="7943" width="16" style="177" customWidth="1"/>
    <col min="7944" max="7944" width="12.42578125" style="177" customWidth="1"/>
    <col min="7945" max="7945" width="35.85546875" style="177" customWidth="1"/>
    <col min="7946" max="7946" width="8.85546875" style="177" customWidth="1"/>
    <col min="7947" max="7947" width="15.7109375" style="177" customWidth="1"/>
    <col min="7948" max="7949" width="8" style="177" customWidth="1"/>
    <col min="7950" max="7950" width="11" style="177" customWidth="1"/>
    <col min="7951" max="7951" width="14.5703125" style="177" customWidth="1"/>
    <col min="7952" max="7952" width="6.28515625" style="177" customWidth="1"/>
    <col min="7953" max="7953" width="10.42578125" style="177" customWidth="1"/>
    <col min="7954" max="7954" width="17.140625" style="177" customWidth="1"/>
    <col min="7955" max="8157" width="9.140625" style="177"/>
    <col min="8158" max="8158" width="3.7109375" style="177" customWidth="1"/>
    <col min="8159" max="8159" width="32" style="177" customWidth="1"/>
    <col min="8160" max="8160" width="17.5703125" style="177" customWidth="1"/>
    <col min="8161" max="8161" width="9.85546875" style="177" customWidth="1"/>
    <col min="8162" max="8162" width="16.85546875" style="177" customWidth="1"/>
    <col min="8163" max="8163" width="6.7109375" style="177" customWidth="1"/>
    <col min="8164" max="8164" width="16.5703125" style="177" customWidth="1"/>
    <col min="8165" max="8165" width="11.5703125" style="177" customWidth="1"/>
    <col min="8166" max="8166" width="30.42578125" style="177" customWidth="1"/>
    <col min="8167" max="8167" width="8.28515625" style="177" customWidth="1"/>
    <col min="8168" max="8168" width="6.5703125" style="177" customWidth="1"/>
    <col min="8169" max="8170" width="6.140625" style="177" customWidth="1"/>
    <col min="8171" max="8171" width="13.140625" style="177" customWidth="1"/>
    <col min="8172" max="8173" width="6.28515625" style="177" customWidth="1"/>
    <col min="8174" max="8174" width="10.42578125" style="177" customWidth="1"/>
    <col min="8175" max="8192" width="9.140625" style="177"/>
    <col min="8193" max="8193" width="3.7109375" style="177" customWidth="1"/>
    <col min="8194" max="8194" width="35" style="177" customWidth="1"/>
    <col min="8195" max="8195" width="17.5703125" style="177" customWidth="1"/>
    <col min="8196" max="8196" width="10.140625" style="177" customWidth="1"/>
    <col min="8197" max="8197" width="13.85546875" style="177" customWidth="1"/>
    <col min="8198" max="8198" width="7.7109375" style="177" bestFit="1" customWidth="1"/>
    <col min="8199" max="8199" width="16" style="177" customWidth="1"/>
    <col min="8200" max="8200" width="12.42578125" style="177" customWidth="1"/>
    <col min="8201" max="8201" width="35.85546875" style="177" customWidth="1"/>
    <col min="8202" max="8202" width="8.85546875" style="177" customWidth="1"/>
    <col min="8203" max="8203" width="15.7109375" style="177" customWidth="1"/>
    <col min="8204" max="8205" width="8" style="177" customWidth="1"/>
    <col min="8206" max="8206" width="11" style="177" customWidth="1"/>
    <col min="8207" max="8207" width="14.5703125" style="177" customWidth="1"/>
    <col min="8208" max="8208" width="6.28515625" style="177" customWidth="1"/>
    <col min="8209" max="8209" width="10.42578125" style="177" customWidth="1"/>
    <col min="8210" max="8210" width="17.140625" style="177" customWidth="1"/>
    <col min="8211" max="8413" width="9.140625" style="177"/>
    <col min="8414" max="8414" width="3.7109375" style="177" customWidth="1"/>
    <col min="8415" max="8415" width="32" style="177" customWidth="1"/>
    <col min="8416" max="8416" width="17.5703125" style="177" customWidth="1"/>
    <col min="8417" max="8417" width="9.85546875" style="177" customWidth="1"/>
    <col min="8418" max="8418" width="16.85546875" style="177" customWidth="1"/>
    <col min="8419" max="8419" width="6.7109375" style="177" customWidth="1"/>
    <col min="8420" max="8420" width="16.5703125" style="177" customWidth="1"/>
    <col min="8421" max="8421" width="11.5703125" style="177" customWidth="1"/>
    <col min="8422" max="8422" width="30.42578125" style="177" customWidth="1"/>
    <col min="8423" max="8423" width="8.28515625" style="177" customWidth="1"/>
    <col min="8424" max="8424" width="6.5703125" style="177" customWidth="1"/>
    <col min="8425" max="8426" width="6.140625" style="177" customWidth="1"/>
    <col min="8427" max="8427" width="13.140625" style="177" customWidth="1"/>
    <col min="8428" max="8429" width="6.28515625" style="177" customWidth="1"/>
    <col min="8430" max="8430" width="10.42578125" style="177" customWidth="1"/>
    <col min="8431" max="8448" width="9.140625" style="177"/>
    <col min="8449" max="8449" width="3.7109375" style="177" customWidth="1"/>
    <col min="8450" max="8450" width="35" style="177" customWidth="1"/>
    <col min="8451" max="8451" width="17.5703125" style="177" customWidth="1"/>
    <col min="8452" max="8452" width="10.140625" style="177" customWidth="1"/>
    <col min="8453" max="8453" width="13.85546875" style="177" customWidth="1"/>
    <col min="8454" max="8454" width="7.7109375" style="177" bestFit="1" customWidth="1"/>
    <col min="8455" max="8455" width="16" style="177" customWidth="1"/>
    <col min="8456" max="8456" width="12.42578125" style="177" customWidth="1"/>
    <col min="8457" max="8457" width="35.85546875" style="177" customWidth="1"/>
    <col min="8458" max="8458" width="8.85546875" style="177" customWidth="1"/>
    <col min="8459" max="8459" width="15.7109375" style="177" customWidth="1"/>
    <col min="8460" max="8461" width="8" style="177" customWidth="1"/>
    <col min="8462" max="8462" width="11" style="177" customWidth="1"/>
    <col min="8463" max="8463" width="14.5703125" style="177" customWidth="1"/>
    <col min="8464" max="8464" width="6.28515625" style="177" customWidth="1"/>
    <col min="8465" max="8465" width="10.42578125" style="177" customWidth="1"/>
    <col min="8466" max="8466" width="17.140625" style="177" customWidth="1"/>
    <col min="8467" max="8669" width="9.140625" style="177"/>
    <col min="8670" max="8670" width="3.7109375" style="177" customWidth="1"/>
    <col min="8671" max="8671" width="32" style="177" customWidth="1"/>
    <col min="8672" max="8672" width="17.5703125" style="177" customWidth="1"/>
    <col min="8673" max="8673" width="9.85546875" style="177" customWidth="1"/>
    <col min="8674" max="8674" width="16.85546875" style="177" customWidth="1"/>
    <col min="8675" max="8675" width="6.7109375" style="177" customWidth="1"/>
    <col min="8676" max="8676" width="16.5703125" style="177" customWidth="1"/>
    <col min="8677" max="8677" width="11.5703125" style="177" customWidth="1"/>
    <col min="8678" max="8678" width="30.42578125" style="177" customWidth="1"/>
    <col min="8679" max="8679" width="8.28515625" style="177" customWidth="1"/>
    <col min="8680" max="8680" width="6.5703125" style="177" customWidth="1"/>
    <col min="8681" max="8682" width="6.140625" style="177" customWidth="1"/>
    <col min="8683" max="8683" width="13.140625" style="177" customWidth="1"/>
    <col min="8684" max="8685" width="6.28515625" style="177" customWidth="1"/>
    <col min="8686" max="8686" width="10.42578125" style="177" customWidth="1"/>
    <col min="8687" max="8704" width="9.140625" style="177"/>
    <col min="8705" max="8705" width="3.7109375" style="177" customWidth="1"/>
    <col min="8706" max="8706" width="35" style="177" customWidth="1"/>
    <col min="8707" max="8707" width="17.5703125" style="177" customWidth="1"/>
    <col min="8708" max="8708" width="10.140625" style="177" customWidth="1"/>
    <col min="8709" max="8709" width="13.85546875" style="177" customWidth="1"/>
    <col min="8710" max="8710" width="7.7109375" style="177" bestFit="1" customWidth="1"/>
    <col min="8711" max="8711" width="16" style="177" customWidth="1"/>
    <col min="8712" max="8712" width="12.42578125" style="177" customWidth="1"/>
    <col min="8713" max="8713" width="35.85546875" style="177" customWidth="1"/>
    <col min="8714" max="8714" width="8.85546875" style="177" customWidth="1"/>
    <col min="8715" max="8715" width="15.7109375" style="177" customWidth="1"/>
    <col min="8716" max="8717" width="8" style="177" customWidth="1"/>
    <col min="8718" max="8718" width="11" style="177" customWidth="1"/>
    <col min="8719" max="8719" width="14.5703125" style="177" customWidth="1"/>
    <col min="8720" max="8720" width="6.28515625" style="177" customWidth="1"/>
    <col min="8721" max="8721" width="10.42578125" style="177" customWidth="1"/>
    <col min="8722" max="8722" width="17.140625" style="177" customWidth="1"/>
    <col min="8723" max="8925" width="9.140625" style="177"/>
    <col min="8926" max="8926" width="3.7109375" style="177" customWidth="1"/>
    <col min="8927" max="8927" width="32" style="177" customWidth="1"/>
    <col min="8928" max="8928" width="17.5703125" style="177" customWidth="1"/>
    <col min="8929" max="8929" width="9.85546875" style="177" customWidth="1"/>
    <col min="8930" max="8930" width="16.85546875" style="177" customWidth="1"/>
    <col min="8931" max="8931" width="6.7109375" style="177" customWidth="1"/>
    <col min="8932" max="8932" width="16.5703125" style="177" customWidth="1"/>
    <col min="8933" max="8933" width="11.5703125" style="177" customWidth="1"/>
    <col min="8934" max="8934" width="30.42578125" style="177" customWidth="1"/>
    <col min="8935" max="8935" width="8.28515625" style="177" customWidth="1"/>
    <col min="8936" max="8936" width="6.5703125" style="177" customWidth="1"/>
    <col min="8937" max="8938" width="6.140625" style="177" customWidth="1"/>
    <col min="8939" max="8939" width="13.140625" style="177" customWidth="1"/>
    <col min="8940" max="8941" width="6.28515625" style="177" customWidth="1"/>
    <col min="8942" max="8942" width="10.42578125" style="177" customWidth="1"/>
    <col min="8943" max="8960" width="9.140625" style="177"/>
    <col min="8961" max="8961" width="3.7109375" style="177" customWidth="1"/>
    <col min="8962" max="8962" width="35" style="177" customWidth="1"/>
    <col min="8963" max="8963" width="17.5703125" style="177" customWidth="1"/>
    <col min="8964" max="8964" width="10.140625" style="177" customWidth="1"/>
    <col min="8965" max="8965" width="13.85546875" style="177" customWidth="1"/>
    <col min="8966" max="8966" width="7.7109375" style="177" bestFit="1" customWidth="1"/>
    <col min="8967" max="8967" width="16" style="177" customWidth="1"/>
    <col min="8968" max="8968" width="12.42578125" style="177" customWidth="1"/>
    <col min="8969" max="8969" width="35.85546875" style="177" customWidth="1"/>
    <col min="8970" max="8970" width="8.85546875" style="177" customWidth="1"/>
    <col min="8971" max="8971" width="15.7109375" style="177" customWidth="1"/>
    <col min="8972" max="8973" width="8" style="177" customWidth="1"/>
    <col min="8974" max="8974" width="11" style="177" customWidth="1"/>
    <col min="8975" max="8975" width="14.5703125" style="177" customWidth="1"/>
    <col min="8976" max="8976" width="6.28515625" style="177" customWidth="1"/>
    <col min="8977" max="8977" width="10.42578125" style="177" customWidth="1"/>
    <col min="8978" max="8978" width="17.140625" style="177" customWidth="1"/>
    <col min="8979" max="9181" width="9.140625" style="177"/>
    <col min="9182" max="9182" width="3.7109375" style="177" customWidth="1"/>
    <col min="9183" max="9183" width="32" style="177" customWidth="1"/>
    <col min="9184" max="9184" width="17.5703125" style="177" customWidth="1"/>
    <col min="9185" max="9185" width="9.85546875" style="177" customWidth="1"/>
    <col min="9186" max="9186" width="16.85546875" style="177" customWidth="1"/>
    <col min="9187" max="9187" width="6.7109375" style="177" customWidth="1"/>
    <col min="9188" max="9188" width="16.5703125" style="177" customWidth="1"/>
    <col min="9189" max="9189" width="11.5703125" style="177" customWidth="1"/>
    <col min="9190" max="9190" width="30.42578125" style="177" customWidth="1"/>
    <col min="9191" max="9191" width="8.28515625" style="177" customWidth="1"/>
    <col min="9192" max="9192" width="6.5703125" style="177" customWidth="1"/>
    <col min="9193" max="9194" width="6.140625" style="177" customWidth="1"/>
    <col min="9195" max="9195" width="13.140625" style="177" customWidth="1"/>
    <col min="9196" max="9197" width="6.28515625" style="177" customWidth="1"/>
    <col min="9198" max="9198" width="10.42578125" style="177" customWidth="1"/>
    <col min="9199" max="9216" width="9.140625" style="177"/>
    <col min="9217" max="9217" width="3.7109375" style="177" customWidth="1"/>
    <col min="9218" max="9218" width="35" style="177" customWidth="1"/>
    <col min="9219" max="9219" width="17.5703125" style="177" customWidth="1"/>
    <col min="9220" max="9220" width="10.140625" style="177" customWidth="1"/>
    <col min="9221" max="9221" width="13.85546875" style="177" customWidth="1"/>
    <col min="9222" max="9222" width="7.7109375" style="177" bestFit="1" customWidth="1"/>
    <col min="9223" max="9223" width="16" style="177" customWidth="1"/>
    <col min="9224" max="9224" width="12.42578125" style="177" customWidth="1"/>
    <col min="9225" max="9225" width="35.85546875" style="177" customWidth="1"/>
    <col min="9226" max="9226" width="8.85546875" style="177" customWidth="1"/>
    <col min="9227" max="9227" width="15.7109375" style="177" customWidth="1"/>
    <col min="9228" max="9229" width="8" style="177" customWidth="1"/>
    <col min="9230" max="9230" width="11" style="177" customWidth="1"/>
    <col min="9231" max="9231" width="14.5703125" style="177" customWidth="1"/>
    <col min="9232" max="9232" width="6.28515625" style="177" customWidth="1"/>
    <col min="9233" max="9233" width="10.42578125" style="177" customWidth="1"/>
    <col min="9234" max="9234" width="17.140625" style="177" customWidth="1"/>
    <col min="9235" max="9437" width="9.140625" style="177"/>
    <col min="9438" max="9438" width="3.7109375" style="177" customWidth="1"/>
    <col min="9439" max="9439" width="32" style="177" customWidth="1"/>
    <col min="9440" max="9440" width="17.5703125" style="177" customWidth="1"/>
    <col min="9441" max="9441" width="9.85546875" style="177" customWidth="1"/>
    <col min="9442" max="9442" width="16.85546875" style="177" customWidth="1"/>
    <col min="9443" max="9443" width="6.7109375" style="177" customWidth="1"/>
    <col min="9444" max="9444" width="16.5703125" style="177" customWidth="1"/>
    <col min="9445" max="9445" width="11.5703125" style="177" customWidth="1"/>
    <col min="9446" max="9446" width="30.42578125" style="177" customWidth="1"/>
    <col min="9447" max="9447" width="8.28515625" style="177" customWidth="1"/>
    <col min="9448" max="9448" width="6.5703125" style="177" customWidth="1"/>
    <col min="9449" max="9450" width="6.140625" style="177" customWidth="1"/>
    <col min="9451" max="9451" width="13.140625" style="177" customWidth="1"/>
    <col min="9452" max="9453" width="6.28515625" style="177" customWidth="1"/>
    <col min="9454" max="9454" width="10.42578125" style="177" customWidth="1"/>
    <col min="9455" max="9472" width="9.140625" style="177"/>
    <col min="9473" max="9473" width="3.7109375" style="177" customWidth="1"/>
    <col min="9474" max="9474" width="35" style="177" customWidth="1"/>
    <col min="9475" max="9475" width="17.5703125" style="177" customWidth="1"/>
    <col min="9476" max="9476" width="10.140625" style="177" customWidth="1"/>
    <col min="9477" max="9477" width="13.85546875" style="177" customWidth="1"/>
    <col min="9478" max="9478" width="7.7109375" style="177" bestFit="1" customWidth="1"/>
    <col min="9479" max="9479" width="16" style="177" customWidth="1"/>
    <col min="9480" max="9480" width="12.42578125" style="177" customWidth="1"/>
    <col min="9481" max="9481" width="35.85546875" style="177" customWidth="1"/>
    <col min="9482" max="9482" width="8.85546875" style="177" customWidth="1"/>
    <col min="9483" max="9483" width="15.7109375" style="177" customWidth="1"/>
    <col min="9484" max="9485" width="8" style="177" customWidth="1"/>
    <col min="9486" max="9486" width="11" style="177" customWidth="1"/>
    <col min="9487" max="9487" width="14.5703125" style="177" customWidth="1"/>
    <col min="9488" max="9488" width="6.28515625" style="177" customWidth="1"/>
    <col min="9489" max="9489" width="10.42578125" style="177" customWidth="1"/>
    <col min="9490" max="9490" width="17.140625" style="177" customWidth="1"/>
    <col min="9491" max="9693" width="9.140625" style="177"/>
    <col min="9694" max="9694" width="3.7109375" style="177" customWidth="1"/>
    <col min="9695" max="9695" width="32" style="177" customWidth="1"/>
    <col min="9696" max="9696" width="17.5703125" style="177" customWidth="1"/>
    <col min="9697" max="9697" width="9.85546875" style="177" customWidth="1"/>
    <col min="9698" max="9698" width="16.85546875" style="177" customWidth="1"/>
    <col min="9699" max="9699" width="6.7109375" style="177" customWidth="1"/>
    <col min="9700" max="9700" width="16.5703125" style="177" customWidth="1"/>
    <col min="9701" max="9701" width="11.5703125" style="177" customWidth="1"/>
    <col min="9702" max="9702" width="30.42578125" style="177" customWidth="1"/>
    <col min="9703" max="9703" width="8.28515625" style="177" customWidth="1"/>
    <col min="9704" max="9704" width="6.5703125" style="177" customWidth="1"/>
    <col min="9705" max="9706" width="6.140625" style="177" customWidth="1"/>
    <col min="9707" max="9707" width="13.140625" style="177" customWidth="1"/>
    <col min="9708" max="9709" width="6.28515625" style="177" customWidth="1"/>
    <col min="9710" max="9710" width="10.42578125" style="177" customWidth="1"/>
    <col min="9711" max="9728" width="9.140625" style="177"/>
    <col min="9729" max="9729" width="3.7109375" style="177" customWidth="1"/>
    <col min="9730" max="9730" width="35" style="177" customWidth="1"/>
    <col min="9731" max="9731" width="17.5703125" style="177" customWidth="1"/>
    <col min="9732" max="9732" width="10.140625" style="177" customWidth="1"/>
    <col min="9733" max="9733" width="13.85546875" style="177" customWidth="1"/>
    <col min="9734" max="9734" width="7.7109375" style="177" bestFit="1" customWidth="1"/>
    <col min="9735" max="9735" width="16" style="177" customWidth="1"/>
    <col min="9736" max="9736" width="12.42578125" style="177" customWidth="1"/>
    <col min="9737" max="9737" width="35.85546875" style="177" customWidth="1"/>
    <col min="9738" max="9738" width="8.85546875" style="177" customWidth="1"/>
    <col min="9739" max="9739" width="15.7109375" style="177" customWidth="1"/>
    <col min="9740" max="9741" width="8" style="177" customWidth="1"/>
    <col min="9742" max="9742" width="11" style="177" customWidth="1"/>
    <col min="9743" max="9743" width="14.5703125" style="177" customWidth="1"/>
    <col min="9744" max="9744" width="6.28515625" style="177" customWidth="1"/>
    <col min="9745" max="9745" width="10.42578125" style="177" customWidth="1"/>
    <col min="9746" max="9746" width="17.140625" style="177" customWidth="1"/>
    <col min="9747" max="9949" width="9.140625" style="177"/>
    <col min="9950" max="9950" width="3.7109375" style="177" customWidth="1"/>
    <col min="9951" max="9951" width="32" style="177" customWidth="1"/>
    <col min="9952" max="9952" width="17.5703125" style="177" customWidth="1"/>
    <col min="9953" max="9953" width="9.85546875" style="177" customWidth="1"/>
    <col min="9954" max="9954" width="16.85546875" style="177" customWidth="1"/>
    <col min="9955" max="9955" width="6.7109375" style="177" customWidth="1"/>
    <col min="9956" max="9956" width="16.5703125" style="177" customWidth="1"/>
    <col min="9957" max="9957" width="11.5703125" style="177" customWidth="1"/>
    <col min="9958" max="9958" width="30.42578125" style="177" customWidth="1"/>
    <col min="9959" max="9959" width="8.28515625" style="177" customWidth="1"/>
    <col min="9960" max="9960" width="6.5703125" style="177" customWidth="1"/>
    <col min="9961" max="9962" width="6.140625" style="177" customWidth="1"/>
    <col min="9963" max="9963" width="13.140625" style="177" customWidth="1"/>
    <col min="9964" max="9965" width="6.28515625" style="177" customWidth="1"/>
    <col min="9966" max="9966" width="10.42578125" style="177" customWidth="1"/>
    <col min="9967" max="9984" width="9.140625" style="177"/>
    <col min="9985" max="9985" width="3.7109375" style="177" customWidth="1"/>
    <col min="9986" max="9986" width="35" style="177" customWidth="1"/>
    <col min="9987" max="9987" width="17.5703125" style="177" customWidth="1"/>
    <col min="9988" max="9988" width="10.140625" style="177" customWidth="1"/>
    <col min="9989" max="9989" width="13.85546875" style="177" customWidth="1"/>
    <col min="9990" max="9990" width="7.7109375" style="177" bestFit="1" customWidth="1"/>
    <col min="9991" max="9991" width="16" style="177" customWidth="1"/>
    <col min="9992" max="9992" width="12.42578125" style="177" customWidth="1"/>
    <col min="9993" max="9993" width="35.85546875" style="177" customWidth="1"/>
    <col min="9994" max="9994" width="8.85546875" style="177" customWidth="1"/>
    <col min="9995" max="9995" width="15.7109375" style="177" customWidth="1"/>
    <col min="9996" max="9997" width="8" style="177" customWidth="1"/>
    <col min="9998" max="9998" width="11" style="177" customWidth="1"/>
    <col min="9999" max="9999" width="14.5703125" style="177" customWidth="1"/>
    <col min="10000" max="10000" width="6.28515625" style="177" customWidth="1"/>
    <col min="10001" max="10001" width="10.42578125" style="177" customWidth="1"/>
    <col min="10002" max="10002" width="17.140625" style="177" customWidth="1"/>
    <col min="10003" max="10205" width="9.140625" style="177"/>
    <col min="10206" max="10206" width="3.7109375" style="177" customWidth="1"/>
    <col min="10207" max="10207" width="32" style="177" customWidth="1"/>
    <col min="10208" max="10208" width="17.5703125" style="177" customWidth="1"/>
    <col min="10209" max="10209" width="9.85546875" style="177" customWidth="1"/>
    <col min="10210" max="10210" width="16.85546875" style="177" customWidth="1"/>
    <col min="10211" max="10211" width="6.7109375" style="177" customWidth="1"/>
    <col min="10212" max="10212" width="16.5703125" style="177" customWidth="1"/>
    <col min="10213" max="10213" width="11.5703125" style="177" customWidth="1"/>
    <col min="10214" max="10214" width="30.42578125" style="177" customWidth="1"/>
    <col min="10215" max="10215" width="8.28515625" style="177" customWidth="1"/>
    <col min="10216" max="10216" width="6.5703125" style="177" customWidth="1"/>
    <col min="10217" max="10218" width="6.140625" style="177" customWidth="1"/>
    <col min="10219" max="10219" width="13.140625" style="177" customWidth="1"/>
    <col min="10220" max="10221" width="6.28515625" style="177" customWidth="1"/>
    <col min="10222" max="10222" width="10.42578125" style="177" customWidth="1"/>
    <col min="10223" max="10240" width="9.140625" style="177"/>
    <col min="10241" max="10241" width="3.7109375" style="177" customWidth="1"/>
    <col min="10242" max="10242" width="35" style="177" customWidth="1"/>
    <col min="10243" max="10243" width="17.5703125" style="177" customWidth="1"/>
    <col min="10244" max="10244" width="10.140625" style="177" customWidth="1"/>
    <col min="10245" max="10245" width="13.85546875" style="177" customWidth="1"/>
    <col min="10246" max="10246" width="7.7109375" style="177" bestFit="1" customWidth="1"/>
    <col min="10247" max="10247" width="16" style="177" customWidth="1"/>
    <col min="10248" max="10248" width="12.42578125" style="177" customWidth="1"/>
    <col min="10249" max="10249" width="35.85546875" style="177" customWidth="1"/>
    <col min="10250" max="10250" width="8.85546875" style="177" customWidth="1"/>
    <col min="10251" max="10251" width="15.7109375" style="177" customWidth="1"/>
    <col min="10252" max="10253" width="8" style="177" customWidth="1"/>
    <col min="10254" max="10254" width="11" style="177" customWidth="1"/>
    <col min="10255" max="10255" width="14.5703125" style="177" customWidth="1"/>
    <col min="10256" max="10256" width="6.28515625" style="177" customWidth="1"/>
    <col min="10257" max="10257" width="10.42578125" style="177" customWidth="1"/>
    <col min="10258" max="10258" width="17.140625" style="177" customWidth="1"/>
    <col min="10259" max="10461" width="9.140625" style="177"/>
    <col min="10462" max="10462" width="3.7109375" style="177" customWidth="1"/>
    <col min="10463" max="10463" width="32" style="177" customWidth="1"/>
    <col min="10464" max="10464" width="17.5703125" style="177" customWidth="1"/>
    <col min="10465" max="10465" width="9.85546875" style="177" customWidth="1"/>
    <col min="10466" max="10466" width="16.85546875" style="177" customWidth="1"/>
    <col min="10467" max="10467" width="6.7109375" style="177" customWidth="1"/>
    <col min="10468" max="10468" width="16.5703125" style="177" customWidth="1"/>
    <col min="10469" max="10469" width="11.5703125" style="177" customWidth="1"/>
    <col min="10470" max="10470" width="30.42578125" style="177" customWidth="1"/>
    <col min="10471" max="10471" width="8.28515625" style="177" customWidth="1"/>
    <col min="10472" max="10472" width="6.5703125" style="177" customWidth="1"/>
    <col min="10473" max="10474" width="6.140625" style="177" customWidth="1"/>
    <col min="10475" max="10475" width="13.140625" style="177" customWidth="1"/>
    <col min="10476" max="10477" width="6.28515625" style="177" customWidth="1"/>
    <col min="10478" max="10478" width="10.42578125" style="177" customWidth="1"/>
    <col min="10479" max="10496" width="9.140625" style="177"/>
    <col min="10497" max="10497" width="3.7109375" style="177" customWidth="1"/>
    <col min="10498" max="10498" width="35" style="177" customWidth="1"/>
    <col min="10499" max="10499" width="17.5703125" style="177" customWidth="1"/>
    <col min="10500" max="10500" width="10.140625" style="177" customWidth="1"/>
    <col min="10501" max="10501" width="13.85546875" style="177" customWidth="1"/>
    <col min="10502" max="10502" width="7.7109375" style="177" bestFit="1" customWidth="1"/>
    <col min="10503" max="10503" width="16" style="177" customWidth="1"/>
    <col min="10504" max="10504" width="12.42578125" style="177" customWidth="1"/>
    <col min="10505" max="10505" width="35.85546875" style="177" customWidth="1"/>
    <col min="10506" max="10506" width="8.85546875" style="177" customWidth="1"/>
    <col min="10507" max="10507" width="15.7109375" style="177" customWidth="1"/>
    <col min="10508" max="10509" width="8" style="177" customWidth="1"/>
    <col min="10510" max="10510" width="11" style="177" customWidth="1"/>
    <col min="10511" max="10511" width="14.5703125" style="177" customWidth="1"/>
    <col min="10512" max="10512" width="6.28515625" style="177" customWidth="1"/>
    <col min="10513" max="10513" width="10.42578125" style="177" customWidth="1"/>
    <col min="10514" max="10514" width="17.140625" style="177" customWidth="1"/>
    <col min="10515" max="10717" width="9.140625" style="177"/>
    <col min="10718" max="10718" width="3.7109375" style="177" customWidth="1"/>
    <col min="10719" max="10719" width="32" style="177" customWidth="1"/>
    <col min="10720" max="10720" width="17.5703125" style="177" customWidth="1"/>
    <col min="10721" max="10721" width="9.85546875" style="177" customWidth="1"/>
    <col min="10722" max="10722" width="16.85546875" style="177" customWidth="1"/>
    <col min="10723" max="10723" width="6.7109375" style="177" customWidth="1"/>
    <col min="10724" max="10724" width="16.5703125" style="177" customWidth="1"/>
    <col min="10725" max="10725" width="11.5703125" style="177" customWidth="1"/>
    <col min="10726" max="10726" width="30.42578125" style="177" customWidth="1"/>
    <col min="10727" max="10727" width="8.28515625" style="177" customWidth="1"/>
    <col min="10728" max="10728" width="6.5703125" style="177" customWidth="1"/>
    <col min="10729" max="10730" width="6.140625" style="177" customWidth="1"/>
    <col min="10731" max="10731" width="13.140625" style="177" customWidth="1"/>
    <col min="10732" max="10733" width="6.28515625" style="177" customWidth="1"/>
    <col min="10734" max="10734" width="10.42578125" style="177" customWidth="1"/>
    <col min="10735" max="10752" width="9.140625" style="177"/>
    <col min="10753" max="10753" width="3.7109375" style="177" customWidth="1"/>
    <col min="10754" max="10754" width="35" style="177" customWidth="1"/>
    <col min="10755" max="10755" width="17.5703125" style="177" customWidth="1"/>
    <col min="10756" max="10756" width="10.140625" style="177" customWidth="1"/>
    <col min="10757" max="10757" width="13.85546875" style="177" customWidth="1"/>
    <col min="10758" max="10758" width="7.7109375" style="177" bestFit="1" customWidth="1"/>
    <col min="10759" max="10759" width="16" style="177" customWidth="1"/>
    <col min="10760" max="10760" width="12.42578125" style="177" customWidth="1"/>
    <col min="10761" max="10761" width="35.85546875" style="177" customWidth="1"/>
    <col min="10762" max="10762" width="8.85546875" style="177" customWidth="1"/>
    <col min="10763" max="10763" width="15.7109375" style="177" customWidth="1"/>
    <col min="10764" max="10765" width="8" style="177" customWidth="1"/>
    <col min="10766" max="10766" width="11" style="177" customWidth="1"/>
    <col min="10767" max="10767" width="14.5703125" style="177" customWidth="1"/>
    <col min="10768" max="10768" width="6.28515625" style="177" customWidth="1"/>
    <col min="10769" max="10769" width="10.42578125" style="177" customWidth="1"/>
    <col min="10770" max="10770" width="17.140625" style="177" customWidth="1"/>
    <col min="10771" max="10973" width="9.140625" style="177"/>
    <col min="10974" max="10974" width="3.7109375" style="177" customWidth="1"/>
    <col min="10975" max="10975" width="32" style="177" customWidth="1"/>
    <col min="10976" max="10976" width="17.5703125" style="177" customWidth="1"/>
    <col min="10977" max="10977" width="9.85546875" style="177" customWidth="1"/>
    <col min="10978" max="10978" width="16.85546875" style="177" customWidth="1"/>
    <col min="10979" max="10979" width="6.7109375" style="177" customWidth="1"/>
    <col min="10980" max="10980" width="16.5703125" style="177" customWidth="1"/>
    <col min="10981" max="10981" width="11.5703125" style="177" customWidth="1"/>
    <col min="10982" max="10982" width="30.42578125" style="177" customWidth="1"/>
    <col min="10983" max="10983" width="8.28515625" style="177" customWidth="1"/>
    <col min="10984" max="10984" width="6.5703125" style="177" customWidth="1"/>
    <col min="10985" max="10986" width="6.140625" style="177" customWidth="1"/>
    <col min="10987" max="10987" width="13.140625" style="177" customWidth="1"/>
    <col min="10988" max="10989" width="6.28515625" style="177" customWidth="1"/>
    <col min="10990" max="10990" width="10.42578125" style="177" customWidth="1"/>
    <col min="10991" max="11008" width="9.140625" style="177"/>
    <col min="11009" max="11009" width="3.7109375" style="177" customWidth="1"/>
    <col min="11010" max="11010" width="35" style="177" customWidth="1"/>
    <col min="11011" max="11011" width="17.5703125" style="177" customWidth="1"/>
    <col min="11012" max="11012" width="10.140625" style="177" customWidth="1"/>
    <col min="11013" max="11013" width="13.85546875" style="177" customWidth="1"/>
    <col min="11014" max="11014" width="7.7109375" style="177" bestFit="1" customWidth="1"/>
    <col min="11015" max="11015" width="16" style="177" customWidth="1"/>
    <col min="11016" max="11016" width="12.42578125" style="177" customWidth="1"/>
    <col min="11017" max="11017" width="35.85546875" style="177" customWidth="1"/>
    <col min="11018" max="11018" width="8.85546875" style="177" customWidth="1"/>
    <col min="11019" max="11019" width="15.7109375" style="177" customWidth="1"/>
    <col min="11020" max="11021" width="8" style="177" customWidth="1"/>
    <col min="11022" max="11022" width="11" style="177" customWidth="1"/>
    <col min="11023" max="11023" width="14.5703125" style="177" customWidth="1"/>
    <col min="11024" max="11024" width="6.28515625" style="177" customWidth="1"/>
    <col min="11025" max="11025" width="10.42578125" style="177" customWidth="1"/>
    <col min="11026" max="11026" width="17.140625" style="177" customWidth="1"/>
    <col min="11027" max="11229" width="9.140625" style="177"/>
    <col min="11230" max="11230" width="3.7109375" style="177" customWidth="1"/>
    <col min="11231" max="11231" width="32" style="177" customWidth="1"/>
    <col min="11232" max="11232" width="17.5703125" style="177" customWidth="1"/>
    <col min="11233" max="11233" width="9.85546875" style="177" customWidth="1"/>
    <col min="11234" max="11234" width="16.85546875" style="177" customWidth="1"/>
    <col min="11235" max="11235" width="6.7109375" style="177" customWidth="1"/>
    <col min="11236" max="11236" width="16.5703125" style="177" customWidth="1"/>
    <col min="11237" max="11237" width="11.5703125" style="177" customWidth="1"/>
    <col min="11238" max="11238" width="30.42578125" style="177" customWidth="1"/>
    <col min="11239" max="11239" width="8.28515625" style="177" customWidth="1"/>
    <col min="11240" max="11240" width="6.5703125" style="177" customWidth="1"/>
    <col min="11241" max="11242" width="6.140625" style="177" customWidth="1"/>
    <col min="11243" max="11243" width="13.140625" style="177" customWidth="1"/>
    <col min="11244" max="11245" width="6.28515625" style="177" customWidth="1"/>
    <col min="11246" max="11246" width="10.42578125" style="177" customWidth="1"/>
    <col min="11247" max="11264" width="9.140625" style="177"/>
    <col min="11265" max="11265" width="3.7109375" style="177" customWidth="1"/>
    <col min="11266" max="11266" width="35" style="177" customWidth="1"/>
    <col min="11267" max="11267" width="17.5703125" style="177" customWidth="1"/>
    <col min="11268" max="11268" width="10.140625" style="177" customWidth="1"/>
    <col min="11269" max="11269" width="13.85546875" style="177" customWidth="1"/>
    <col min="11270" max="11270" width="7.7109375" style="177" bestFit="1" customWidth="1"/>
    <col min="11271" max="11271" width="16" style="177" customWidth="1"/>
    <col min="11272" max="11272" width="12.42578125" style="177" customWidth="1"/>
    <col min="11273" max="11273" width="35.85546875" style="177" customWidth="1"/>
    <col min="11274" max="11274" width="8.85546875" style="177" customWidth="1"/>
    <col min="11275" max="11275" width="15.7109375" style="177" customWidth="1"/>
    <col min="11276" max="11277" width="8" style="177" customWidth="1"/>
    <col min="11278" max="11278" width="11" style="177" customWidth="1"/>
    <col min="11279" max="11279" width="14.5703125" style="177" customWidth="1"/>
    <col min="11280" max="11280" width="6.28515625" style="177" customWidth="1"/>
    <col min="11281" max="11281" width="10.42578125" style="177" customWidth="1"/>
    <col min="11282" max="11282" width="17.140625" style="177" customWidth="1"/>
    <col min="11283" max="11485" width="9.140625" style="177"/>
    <col min="11486" max="11486" width="3.7109375" style="177" customWidth="1"/>
    <col min="11487" max="11487" width="32" style="177" customWidth="1"/>
    <col min="11488" max="11488" width="17.5703125" style="177" customWidth="1"/>
    <col min="11489" max="11489" width="9.85546875" style="177" customWidth="1"/>
    <col min="11490" max="11490" width="16.85546875" style="177" customWidth="1"/>
    <col min="11491" max="11491" width="6.7109375" style="177" customWidth="1"/>
    <col min="11492" max="11492" width="16.5703125" style="177" customWidth="1"/>
    <col min="11493" max="11493" width="11.5703125" style="177" customWidth="1"/>
    <col min="11494" max="11494" width="30.42578125" style="177" customWidth="1"/>
    <col min="11495" max="11495" width="8.28515625" style="177" customWidth="1"/>
    <col min="11496" max="11496" width="6.5703125" style="177" customWidth="1"/>
    <col min="11497" max="11498" width="6.140625" style="177" customWidth="1"/>
    <col min="11499" max="11499" width="13.140625" style="177" customWidth="1"/>
    <col min="11500" max="11501" width="6.28515625" style="177" customWidth="1"/>
    <col min="11502" max="11502" width="10.42578125" style="177" customWidth="1"/>
    <col min="11503" max="11520" width="9.140625" style="177"/>
    <col min="11521" max="11521" width="3.7109375" style="177" customWidth="1"/>
    <col min="11522" max="11522" width="35" style="177" customWidth="1"/>
    <col min="11523" max="11523" width="17.5703125" style="177" customWidth="1"/>
    <col min="11524" max="11524" width="10.140625" style="177" customWidth="1"/>
    <col min="11525" max="11525" width="13.85546875" style="177" customWidth="1"/>
    <col min="11526" max="11526" width="7.7109375" style="177" bestFit="1" customWidth="1"/>
    <col min="11527" max="11527" width="16" style="177" customWidth="1"/>
    <col min="11528" max="11528" width="12.42578125" style="177" customWidth="1"/>
    <col min="11529" max="11529" width="35.85546875" style="177" customWidth="1"/>
    <col min="11530" max="11530" width="8.85546875" style="177" customWidth="1"/>
    <col min="11531" max="11531" width="15.7109375" style="177" customWidth="1"/>
    <col min="11532" max="11533" width="8" style="177" customWidth="1"/>
    <col min="11534" max="11534" width="11" style="177" customWidth="1"/>
    <col min="11535" max="11535" width="14.5703125" style="177" customWidth="1"/>
    <col min="11536" max="11536" width="6.28515625" style="177" customWidth="1"/>
    <col min="11537" max="11537" width="10.42578125" style="177" customWidth="1"/>
    <col min="11538" max="11538" width="17.140625" style="177" customWidth="1"/>
    <col min="11539" max="11741" width="9.140625" style="177"/>
    <col min="11742" max="11742" width="3.7109375" style="177" customWidth="1"/>
    <col min="11743" max="11743" width="32" style="177" customWidth="1"/>
    <col min="11744" max="11744" width="17.5703125" style="177" customWidth="1"/>
    <col min="11745" max="11745" width="9.85546875" style="177" customWidth="1"/>
    <col min="11746" max="11746" width="16.85546875" style="177" customWidth="1"/>
    <col min="11747" max="11747" width="6.7109375" style="177" customWidth="1"/>
    <col min="11748" max="11748" width="16.5703125" style="177" customWidth="1"/>
    <col min="11749" max="11749" width="11.5703125" style="177" customWidth="1"/>
    <col min="11750" max="11750" width="30.42578125" style="177" customWidth="1"/>
    <col min="11751" max="11751" width="8.28515625" style="177" customWidth="1"/>
    <col min="11752" max="11752" width="6.5703125" style="177" customWidth="1"/>
    <col min="11753" max="11754" width="6.140625" style="177" customWidth="1"/>
    <col min="11755" max="11755" width="13.140625" style="177" customWidth="1"/>
    <col min="11756" max="11757" width="6.28515625" style="177" customWidth="1"/>
    <col min="11758" max="11758" width="10.42578125" style="177" customWidth="1"/>
    <col min="11759" max="11776" width="9.140625" style="177"/>
    <col min="11777" max="11777" width="3.7109375" style="177" customWidth="1"/>
    <col min="11778" max="11778" width="35" style="177" customWidth="1"/>
    <col min="11779" max="11779" width="17.5703125" style="177" customWidth="1"/>
    <col min="11780" max="11780" width="10.140625" style="177" customWidth="1"/>
    <col min="11781" max="11781" width="13.85546875" style="177" customWidth="1"/>
    <col min="11782" max="11782" width="7.7109375" style="177" bestFit="1" customWidth="1"/>
    <col min="11783" max="11783" width="16" style="177" customWidth="1"/>
    <col min="11784" max="11784" width="12.42578125" style="177" customWidth="1"/>
    <col min="11785" max="11785" width="35.85546875" style="177" customWidth="1"/>
    <col min="11786" max="11786" width="8.85546875" style="177" customWidth="1"/>
    <col min="11787" max="11787" width="15.7109375" style="177" customWidth="1"/>
    <col min="11788" max="11789" width="8" style="177" customWidth="1"/>
    <col min="11790" max="11790" width="11" style="177" customWidth="1"/>
    <col min="11791" max="11791" width="14.5703125" style="177" customWidth="1"/>
    <col min="11792" max="11792" width="6.28515625" style="177" customWidth="1"/>
    <col min="11793" max="11793" width="10.42578125" style="177" customWidth="1"/>
    <col min="11794" max="11794" width="17.140625" style="177" customWidth="1"/>
    <col min="11795" max="11997" width="9.140625" style="177"/>
    <col min="11998" max="11998" width="3.7109375" style="177" customWidth="1"/>
    <col min="11999" max="11999" width="32" style="177" customWidth="1"/>
    <col min="12000" max="12000" width="17.5703125" style="177" customWidth="1"/>
    <col min="12001" max="12001" width="9.85546875" style="177" customWidth="1"/>
    <col min="12002" max="12002" width="16.85546875" style="177" customWidth="1"/>
    <col min="12003" max="12003" width="6.7109375" style="177" customWidth="1"/>
    <col min="12004" max="12004" width="16.5703125" style="177" customWidth="1"/>
    <col min="12005" max="12005" width="11.5703125" style="177" customWidth="1"/>
    <col min="12006" max="12006" width="30.42578125" style="177" customWidth="1"/>
    <col min="12007" max="12007" width="8.28515625" style="177" customWidth="1"/>
    <col min="12008" max="12008" width="6.5703125" style="177" customWidth="1"/>
    <col min="12009" max="12010" width="6.140625" style="177" customWidth="1"/>
    <col min="12011" max="12011" width="13.140625" style="177" customWidth="1"/>
    <col min="12012" max="12013" width="6.28515625" style="177" customWidth="1"/>
    <col min="12014" max="12014" width="10.42578125" style="177" customWidth="1"/>
    <col min="12015" max="12032" width="9.140625" style="177"/>
    <col min="12033" max="12033" width="3.7109375" style="177" customWidth="1"/>
    <col min="12034" max="12034" width="35" style="177" customWidth="1"/>
    <col min="12035" max="12035" width="17.5703125" style="177" customWidth="1"/>
    <col min="12036" max="12036" width="10.140625" style="177" customWidth="1"/>
    <col min="12037" max="12037" width="13.85546875" style="177" customWidth="1"/>
    <col min="12038" max="12038" width="7.7109375" style="177" bestFit="1" customWidth="1"/>
    <col min="12039" max="12039" width="16" style="177" customWidth="1"/>
    <col min="12040" max="12040" width="12.42578125" style="177" customWidth="1"/>
    <col min="12041" max="12041" width="35.85546875" style="177" customWidth="1"/>
    <col min="12042" max="12042" width="8.85546875" style="177" customWidth="1"/>
    <col min="12043" max="12043" width="15.7109375" style="177" customWidth="1"/>
    <col min="12044" max="12045" width="8" style="177" customWidth="1"/>
    <col min="12046" max="12046" width="11" style="177" customWidth="1"/>
    <col min="12047" max="12047" width="14.5703125" style="177" customWidth="1"/>
    <col min="12048" max="12048" width="6.28515625" style="177" customWidth="1"/>
    <col min="12049" max="12049" width="10.42578125" style="177" customWidth="1"/>
    <col min="12050" max="12050" width="17.140625" style="177" customWidth="1"/>
    <col min="12051" max="12253" width="9.140625" style="177"/>
    <col min="12254" max="12254" width="3.7109375" style="177" customWidth="1"/>
    <col min="12255" max="12255" width="32" style="177" customWidth="1"/>
    <col min="12256" max="12256" width="17.5703125" style="177" customWidth="1"/>
    <col min="12257" max="12257" width="9.85546875" style="177" customWidth="1"/>
    <col min="12258" max="12258" width="16.85546875" style="177" customWidth="1"/>
    <col min="12259" max="12259" width="6.7109375" style="177" customWidth="1"/>
    <col min="12260" max="12260" width="16.5703125" style="177" customWidth="1"/>
    <col min="12261" max="12261" width="11.5703125" style="177" customWidth="1"/>
    <col min="12262" max="12262" width="30.42578125" style="177" customWidth="1"/>
    <col min="12263" max="12263" width="8.28515625" style="177" customWidth="1"/>
    <col min="12264" max="12264" width="6.5703125" style="177" customWidth="1"/>
    <col min="12265" max="12266" width="6.140625" style="177" customWidth="1"/>
    <col min="12267" max="12267" width="13.140625" style="177" customWidth="1"/>
    <col min="12268" max="12269" width="6.28515625" style="177" customWidth="1"/>
    <col min="12270" max="12270" width="10.42578125" style="177" customWidth="1"/>
    <col min="12271" max="12288" width="9.140625" style="177"/>
    <col min="12289" max="12289" width="3.7109375" style="177" customWidth="1"/>
    <col min="12290" max="12290" width="35" style="177" customWidth="1"/>
    <col min="12291" max="12291" width="17.5703125" style="177" customWidth="1"/>
    <col min="12292" max="12292" width="10.140625" style="177" customWidth="1"/>
    <col min="12293" max="12293" width="13.85546875" style="177" customWidth="1"/>
    <col min="12294" max="12294" width="7.7109375" style="177" bestFit="1" customWidth="1"/>
    <col min="12295" max="12295" width="16" style="177" customWidth="1"/>
    <col min="12296" max="12296" width="12.42578125" style="177" customWidth="1"/>
    <col min="12297" max="12297" width="35.85546875" style="177" customWidth="1"/>
    <col min="12298" max="12298" width="8.85546875" style="177" customWidth="1"/>
    <col min="12299" max="12299" width="15.7109375" style="177" customWidth="1"/>
    <col min="12300" max="12301" width="8" style="177" customWidth="1"/>
    <col min="12302" max="12302" width="11" style="177" customWidth="1"/>
    <col min="12303" max="12303" width="14.5703125" style="177" customWidth="1"/>
    <col min="12304" max="12304" width="6.28515625" style="177" customWidth="1"/>
    <col min="12305" max="12305" width="10.42578125" style="177" customWidth="1"/>
    <col min="12306" max="12306" width="17.140625" style="177" customWidth="1"/>
    <col min="12307" max="12509" width="9.140625" style="177"/>
    <col min="12510" max="12510" width="3.7109375" style="177" customWidth="1"/>
    <col min="12511" max="12511" width="32" style="177" customWidth="1"/>
    <col min="12512" max="12512" width="17.5703125" style="177" customWidth="1"/>
    <col min="12513" max="12513" width="9.85546875" style="177" customWidth="1"/>
    <col min="12514" max="12514" width="16.85546875" style="177" customWidth="1"/>
    <col min="12515" max="12515" width="6.7109375" style="177" customWidth="1"/>
    <col min="12516" max="12516" width="16.5703125" style="177" customWidth="1"/>
    <col min="12517" max="12517" width="11.5703125" style="177" customWidth="1"/>
    <col min="12518" max="12518" width="30.42578125" style="177" customWidth="1"/>
    <col min="12519" max="12519" width="8.28515625" style="177" customWidth="1"/>
    <col min="12520" max="12520" width="6.5703125" style="177" customWidth="1"/>
    <col min="12521" max="12522" width="6.140625" style="177" customWidth="1"/>
    <col min="12523" max="12523" width="13.140625" style="177" customWidth="1"/>
    <col min="12524" max="12525" width="6.28515625" style="177" customWidth="1"/>
    <col min="12526" max="12526" width="10.42578125" style="177" customWidth="1"/>
    <col min="12527" max="12544" width="9.140625" style="177"/>
    <col min="12545" max="12545" width="3.7109375" style="177" customWidth="1"/>
    <col min="12546" max="12546" width="35" style="177" customWidth="1"/>
    <col min="12547" max="12547" width="17.5703125" style="177" customWidth="1"/>
    <col min="12548" max="12548" width="10.140625" style="177" customWidth="1"/>
    <col min="12549" max="12549" width="13.85546875" style="177" customWidth="1"/>
    <col min="12550" max="12550" width="7.7109375" style="177" bestFit="1" customWidth="1"/>
    <col min="12551" max="12551" width="16" style="177" customWidth="1"/>
    <col min="12552" max="12552" width="12.42578125" style="177" customWidth="1"/>
    <col min="12553" max="12553" width="35.85546875" style="177" customWidth="1"/>
    <col min="12554" max="12554" width="8.85546875" style="177" customWidth="1"/>
    <col min="12555" max="12555" width="15.7109375" style="177" customWidth="1"/>
    <col min="12556" max="12557" width="8" style="177" customWidth="1"/>
    <col min="12558" max="12558" width="11" style="177" customWidth="1"/>
    <col min="12559" max="12559" width="14.5703125" style="177" customWidth="1"/>
    <col min="12560" max="12560" width="6.28515625" style="177" customWidth="1"/>
    <col min="12561" max="12561" width="10.42578125" style="177" customWidth="1"/>
    <col min="12562" max="12562" width="17.140625" style="177" customWidth="1"/>
    <col min="12563" max="12765" width="9.140625" style="177"/>
    <col min="12766" max="12766" width="3.7109375" style="177" customWidth="1"/>
    <col min="12767" max="12767" width="32" style="177" customWidth="1"/>
    <col min="12768" max="12768" width="17.5703125" style="177" customWidth="1"/>
    <col min="12769" max="12769" width="9.85546875" style="177" customWidth="1"/>
    <col min="12770" max="12770" width="16.85546875" style="177" customWidth="1"/>
    <col min="12771" max="12771" width="6.7109375" style="177" customWidth="1"/>
    <col min="12772" max="12772" width="16.5703125" style="177" customWidth="1"/>
    <col min="12773" max="12773" width="11.5703125" style="177" customWidth="1"/>
    <col min="12774" max="12774" width="30.42578125" style="177" customWidth="1"/>
    <col min="12775" max="12775" width="8.28515625" style="177" customWidth="1"/>
    <col min="12776" max="12776" width="6.5703125" style="177" customWidth="1"/>
    <col min="12777" max="12778" width="6.140625" style="177" customWidth="1"/>
    <col min="12779" max="12779" width="13.140625" style="177" customWidth="1"/>
    <col min="12780" max="12781" width="6.28515625" style="177" customWidth="1"/>
    <col min="12782" max="12782" width="10.42578125" style="177" customWidth="1"/>
    <col min="12783" max="12800" width="9.140625" style="177"/>
    <col min="12801" max="12801" width="3.7109375" style="177" customWidth="1"/>
    <col min="12802" max="12802" width="35" style="177" customWidth="1"/>
    <col min="12803" max="12803" width="17.5703125" style="177" customWidth="1"/>
    <col min="12804" max="12804" width="10.140625" style="177" customWidth="1"/>
    <col min="12805" max="12805" width="13.85546875" style="177" customWidth="1"/>
    <col min="12806" max="12806" width="7.7109375" style="177" bestFit="1" customWidth="1"/>
    <col min="12807" max="12807" width="16" style="177" customWidth="1"/>
    <col min="12808" max="12808" width="12.42578125" style="177" customWidth="1"/>
    <col min="12809" max="12809" width="35.85546875" style="177" customWidth="1"/>
    <col min="12810" max="12810" width="8.85546875" style="177" customWidth="1"/>
    <col min="12811" max="12811" width="15.7109375" style="177" customWidth="1"/>
    <col min="12812" max="12813" width="8" style="177" customWidth="1"/>
    <col min="12814" max="12814" width="11" style="177" customWidth="1"/>
    <col min="12815" max="12815" width="14.5703125" style="177" customWidth="1"/>
    <col min="12816" max="12816" width="6.28515625" style="177" customWidth="1"/>
    <col min="12817" max="12817" width="10.42578125" style="177" customWidth="1"/>
    <col min="12818" max="12818" width="17.140625" style="177" customWidth="1"/>
    <col min="12819" max="13021" width="9.140625" style="177"/>
    <col min="13022" max="13022" width="3.7109375" style="177" customWidth="1"/>
    <col min="13023" max="13023" width="32" style="177" customWidth="1"/>
    <col min="13024" max="13024" width="17.5703125" style="177" customWidth="1"/>
    <col min="13025" max="13025" width="9.85546875" style="177" customWidth="1"/>
    <col min="13026" max="13026" width="16.85546875" style="177" customWidth="1"/>
    <col min="13027" max="13027" width="6.7109375" style="177" customWidth="1"/>
    <col min="13028" max="13028" width="16.5703125" style="177" customWidth="1"/>
    <col min="13029" max="13029" width="11.5703125" style="177" customWidth="1"/>
    <col min="13030" max="13030" width="30.42578125" style="177" customWidth="1"/>
    <col min="13031" max="13031" width="8.28515625" style="177" customWidth="1"/>
    <col min="13032" max="13032" width="6.5703125" style="177" customWidth="1"/>
    <col min="13033" max="13034" width="6.140625" style="177" customWidth="1"/>
    <col min="13035" max="13035" width="13.140625" style="177" customWidth="1"/>
    <col min="13036" max="13037" width="6.28515625" style="177" customWidth="1"/>
    <col min="13038" max="13038" width="10.42578125" style="177" customWidth="1"/>
    <col min="13039" max="13056" width="9.140625" style="177"/>
    <col min="13057" max="13057" width="3.7109375" style="177" customWidth="1"/>
    <col min="13058" max="13058" width="35" style="177" customWidth="1"/>
    <col min="13059" max="13059" width="17.5703125" style="177" customWidth="1"/>
    <col min="13060" max="13060" width="10.140625" style="177" customWidth="1"/>
    <col min="13061" max="13061" width="13.85546875" style="177" customWidth="1"/>
    <col min="13062" max="13062" width="7.7109375" style="177" bestFit="1" customWidth="1"/>
    <col min="13063" max="13063" width="16" style="177" customWidth="1"/>
    <col min="13064" max="13064" width="12.42578125" style="177" customWidth="1"/>
    <col min="13065" max="13065" width="35.85546875" style="177" customWidth="1"/>
    <col min="13066" max="13066" width="8.85546875" style="177" customWidth="1"/>
    <col min="13067" max="13067" width="15.7109375" style="177" customWidth="1"/>
    <col min="13068" max="13069" width="8" style="177" customWidth="1"/>
    <col min="13070" max="13070" width="11" style="177" customWidth="1"/>
    <col min="13071" max="13071" width="14.5703125" style="177" customWidth="1"/>
    <col min="13072" max="13072" width="6.28515625" style="177" customWidth="1"/>
    <col min="13073" max="13073" width="10.42578125" style="177" customWidth="1"/>
    <col min="13074" max="13074" width="17.140625" style="177" customWidth="1"/>
    <col min="13075" max="13277" width="9.140625" style="177"/>
    <col min="13278" max="13278" width="3.7109375" style="177" customWidth="1"/>
    <col min="13279" max="13279" width="32" style="177" customWidth="1"/>
    <col min="13280" max="13280" width="17.5703125" style="177" customWidth="1"/>
    <col min="13281" max="13281" width="9.85546875" style="177" customWidth="1"/>
    <col min="13282" max="13282" width="16.85546875" style="177" customWidth="1"/>
    <col min="13283" max="13283" width="6.7109375" style="177" customWidth="1"/>
    <col min="13284" max="13284" width="16.5703125" style="177" customWidth="1"/>
    <col min="13285" max="13285" width="11.5703125" style="177" customWidth="1"/>
    <col min="13286" max="13286" width="30.42578125" style="177" customWidth="1"/>
    <col min="13287" max="13287" width="8.28515625" style="177" customWidth="1"/>
    <col min="13288" max="13288" width="6.5703125" style="177" customWidth="1"/>
    <col min="13289" max="13290" width="6.140625" style="177" customWidth="1"/>
    <col min="13291" max="13291" width="13.140625" style="177" customWidth="1"/>
    <col min="13292" max="13293" width="6.28515625" style="177" customWidth="1"/>
    <col min="13294" max="13294" width="10.42578125" style="177" customWidth="1"/>
    <col min="13295" max="13312" width="9.140625" style="177"/>
    <col min="13313" max="13313" width="3.7109375" style="177" customWidth="1"/>
    <col min="13314" max="13314" width="35" style="177" customWidth="1"/>
    <col min="13315" max="13315" width="17.5703125" style="177" customWidth="1"/>
    <col min="13316" max="13316" width="10.140625" style="177" customWidth="1"/>
    <col min="13317" max="13317" width="13.85546875" style="177" customWidth="1"/>
    <col min="13318" max="13318" width="7.7109375" style="177" bestFit="1" customWidth="1"/>
    <col min="13319" max="13319" width="16" style="177" customWidth="1"/>
    <col min="13320" max="13320" width="12.42578125" style="177" customWidth="1"/>
    <col min="13321" max="13321" width="35.85546875" style="177" customWidth="1"/>
    <col min="13322" max="13322" width="8.85546875" style="177" customWidth="1"/>
    <col min="13323" max="13323" width="15.7109375" style="177" customWidth="1"/>
    <col min="13324" max="13325" width="8" style="177" customWidth="1"/>
    <col min="13326" max="13326" width="11" style="177" customWidth="1"/>
    <col min="13327" max="13327" width="14.5703125" style="177" customWidth="1"/>
    <col min="13328" max="13328" width="6.28515625" style="177" customWidth="1"/>
    <col min="13329" max="13329" width="10.42578125" style="177" customWidth="1"/>
    <col min="13330" max="13330" width="17.140625" style="177" customWidth="1"/>
    <col min="13331" max="13533" width="9.140625" style="177"/>
    <col min="13534" max="13534" width="3.7109375" style="177" customWidth="1"/>
    <col min="13535" max="13535" width="32" style="177" customWidth="1"/>
    <col min="13536" max="13536" width="17.5703125" style="177" customWidth="1"/>
    <col min="13537" max="13537" width="9.85546875" style="177" customWidth="1"/>
    <col min="13538" max="13538" width="16.85546875" style="177" customWidth="1"/>
    <col min="13539" max="13539" width="6.7109375" style="177" customWidth="1"/>
    <col min="13540" max="13540" width="16.5703125" style="177" customWidth="1"/>
    <col min="13541" max="13541" width="11.5703125" style="177" customWidth="1"/>
    <col min="13542" max="13542" width="30.42578125" style="177" customWidth="1"/>
    <col min="13543" max="13543" width="8.28515625" style="177" customWidth="1"/>
    <col min="13544" max="13544" width="6.5703125" style="177" customWidth="1"/>
    <col min="13545" max="13546" width="6.140625" style="177" customWidth="1"/>
    <col min="13547" max="13547" width="13.140625" style="177" customWidth="1"/>
    <col min="13548" max="13549" width="6.28515625" style="177" customWidth="1"/>
    <col min="13550" max="13550" width="10.42578125" style="177" customWidth="1"/>
    <col min="13551" max="13568" width="9.140625" style="177"/>
    <col min="13569" max="13569" width="3.7109375" style="177" customWidth="1"/>
    <col min="13570" max="13570" width="35" style="177" customWidth="1"/>
    <col min="13571" max="13571" width="17.5703125" style="177" customWidth="1"/>
    <col min="13572" max="13572" width="10.140625" style="177" customWidth="1"/>
    <col min="13573" max="13573" width="13.85546875" style="177" customWidth="1"/>
    <col min="13574" max="13574" width="7.7109375" style="177" bestFit="1" customWidth="1"/>
    <col min="13575" max="13575" width="16" style="177" customWidth="1"/>
    <col min="13576" max="13576" width="12.42578125" style="177" customWidth="1"/>
    <col min="13577" max="13577" width="35.85546875" style="177" customWidth="1"/>
    <col min="13578" max="13578" width="8.85546875" style="177" customWidth="1"/>
    <col min="13579" max="13579" width="15.7109375" style="177" customWidth="1"/>
    <col min="13580" max="13581" width="8" style="177" customWidth="1"/>
    <col min="13582" max="13582" width="11" style="177" customWidth="1"/>
    <col min="13583" max="13583" width="14.5703125" style="177" customWidth="1"/>
    <col min="13584" max="13584" width="6.28515625" style="177" customWidth="1"/>
    <col min="13585" max="13585" width="10.42578125" style="177" customWidth="1"/>
    <col min="13586" max="13586" width="17.140625" style="177" customWidth="1"/>
    <col min="13587" max="13789" width="9.140625" style="177"/>
    <col min="13790" max="13790" width="3.7109375" style="177" customWidth="1"/>
    <col min="13791" max="13791" width="32" style="177" customWidth="1"/>
    <col min="13792" max="13792" width="17.5703125" style="177" customWidth="1"/>
    <col min="13793" max="13793" width="9.85546875" style="177" customWidth="1"/>
    <col min="13794" max="13794" width="16.85546875" style="177" customWidth="1"/>
    <col min="13795" max="13795" width="6.7109375" style="177" customWidth="1"/>
    <col min="13796" max="13796" width="16.5703125" style="177" customWidth="1"/>
    <col min="13797" max="13797" width="11.5703125" style="177" customWidth="1"/>
    <col min="13798" max="13798" width="30.42578125" style="177" customWidth="1"/>
    <col min="13799" max="13799" width="8.28515625" style="177" customWidth="1"/>
    <col min="13800" max="13800" width="6.5703125" style="177" customWidth="1"/>
    <col min="13801" max="13802" width="6.140625" style="177" customWidth="1"/>
    <col min="13803" max="13803" width="13.140625" style="177" customWidth="1"/>
    <col min="13804" max="13805" width="6.28515625" style="177" customWidth="1"/>
    <col min="13806" max="13806" width="10.42578125" style="177" customWidth="1"/>
    <col min="13807" max="13824" width="9.140625" style="177"/>
    <col min="13825" max="13825" width="3.7109375" style="177" customWidth="1"/>
    <col min="13826" max="13826" width="35" style="177" customWidth="1"/>
    <col min="13827" max="13827" width="17.5703125" style="177" customWidth="1"/>
    <col min="13828" max="13828" width="10.140625" style="177" customWidth="1"/>
    <col min="13829" max="13829" width="13.85546875" style="177" customWidth="1"/>
    <col min="13830" max="13830" width="7.7109375" style="177" bestFit="1" customWidth="1"/>
    <col min="13831" max="13831" width="16" style="177" customWidth="1"/>
    <col min="13832" max="13832" width="12.42578125" style="177" customWidth="1"/>
    <col min="13833" max="13833" width="35.85546875" style="177" customWidth="1"/>
    <col min="13834" max="13834" width="8.85546875" style="177" customWidth="1"/>
    <col min="13835" max="13835" width="15.7109375" style="177" customWidth="1"/>
    <col min="13836" max="13837" width="8" style="177" customWidth="1"/>
    <col min="13838" max="13838" width="11" style="177" customWidth="1"/>
    <col min="13839" max="13839" width="14.5703125" style="177" customWidth="1"/>
    <col min="13840" max="13840" width="6.28515625" style="177" customWidth="1"/>
    <col min="13841" max="13841" width="10.42578125" style="177" customWidth="1"/>
    <col min="13842" max="13842" width="17.140625" style="177" customWidth="1"/>
    <col min="13843" max="14045" width="9.140625" style="177"/>
    <col min="14046" max="14046" width="3.7109375" style="177" customWidth="1"/>
    <col min="14047" max="14047" width="32" style="177" customWidth="1"/>
    <col min="14048" max="14048" width="17.5703125" style="177" customWidth="1"/>
    <col min="14049" max="14049" width="9.85546875" style="177" customWidth="1"/>
    <col min="14050" max="14050" width="16.85546875" style="177" customWidth="1"/>
    <col min="14051" max="14051" width="6.7109375" style="177" customWidth="1"/>
    <col min="14052" max="14052" width="16.5703125" style="177" customWidth="1"/>
    <col min="14053" max="14053" width="11.5703125" style="177" customWidth="1"/>
    <col min="14054" max="14054" width="30.42578125" style="177" customWidth="1"/>
    <col min="14055" max="14055" width="8.28515625" style="177" customWidth="1"/>
    <col min="14056" max="14056" width="6.5703125" style="177" customWidth="1"/>
    <col min="14057" max="14058" width="6.140625" style="177" customWidth="1"/>
    <col min="14059" max="14059" width="13.140625" style="177" customWidth="1"/>
    <col min="14060" max="14061" width="6.28515625" style="177" customWidth="1"/>
    <col min="14062" max="14062" width="10.42578125" style="177" customWidth="1"/>
    <col min="14063" max="14080" width="9.140625" style="177"/>
    <col min="14081" max="14081" width="3.7109375" style="177" customWidth="1"/>
    <col min="14082" max="14082" width="35" style="177" customWidth="1"/>
    <col min="14083" max="14083" width="17.5703125" style="177" customWidth="1"/>
    <col min="14084" max="14084" width="10.140625" style="177" customWidth="1"/>
    <col min="14085" max="14085" width="13.85546875" style="177" customWidth="1"/>
    <col min="14086" max="14086" width="7.7109375" style="177" bestFit="1" customWidth="1"/>
    <col min="14087" max="14087" width="16" style="177" customWidth="1"/>
    <col min="14088" max="14088" width="12.42578125" style="177" customWidth="1"/>
    <col min="14089" max="14089" width="35.85546875" style="177" customWidth="1"/>
    <col min="14090" max="14090" width="8.85546875" style="177" customWidth="1"/>
    <col min="14091" max="14091" width="15.7109375" style="177" customWidth="1"/>
    <col min="14092" max="14093" width="8" style="177" customWidth="1"/>
    <col min="14094" max="14094" width="11" style="177" customWidth="1"/>
    <col min="14095" max="14095" width="14.5703125" style="177" customWidth="1"/>
    <col min="14096" max="14096" width="6.28515625" style="177" customWidth="1"/>
    <col min="14097" max="14097" width="10.42578125" style="177" customWidth="1"/>
    <col min="14098" max="14098" width="17.140625" style="177" customWidth="1"/>
    <col min="14099" max="14301" width="9.140625" style="177"/>
    <col min="14302" max="14302" width="3.7109375" style="177" customWidth="1"/>
    <col min="14303" max="14303" width="32" style="177" customWidth="1"/>
    <col min="14304" max="14304" width="17.5703125" style="177" customWidth="1"/>
    <col min="14305" max="14305" width="9.85546875" style="177" customWidth="1"/>
    <col min="14306" max="14306" width="16.85546875" style="177" customWidth="1"/>
    <col min="14307" max="14307" width="6.7109375" style="177" customWidth="1"/>
    <col min="14308" max="14308" width="16.5703125" style="177" customWidth="1"/>
    <col min="14309" max="14309" width="11.5703125" style="177" customWidth="1"/>
    <col min="14310" max="14310" width="30.42578125" style="177" customWidth="1"/>
    <col min="14311" max="14311" width="8.28515625" style="177" customWidth="1"/>
    <col min="14312" max="14312" width="6.5703125" style="177" customWidth="1"/>
    <col min="14313" max="14314" width="6.140625" style="177" customWidth="1"/>
    <col min="14315" max="14315" width="13.140625" style="177" customWidth="1"/>
    <col min="14316" max="14317" width="6.28515625" style="177" customWidth="1"/>
    <col min="14318" max="14318" width="10.42578125" style="177" customWidth="1"/>
    <col min="14319" max="14336" width="9.140625" style="177"/>
    <col min="14337" max="14337" width="3.7109375" style="177" customWidth="1"/>
    <col min="14338" max="14338" width="35" style="177" customWidth="1"/>
    <col min="14339" max="14339" width="17.5703125" style="177" customWidth="1"/>
    <col min="14340" max="14340" width="10.140625" style="177" customWidth="1"/>
    <col min="14341" max="14341" width="13.85546875" style="177" customWidth="1"/>
    <col min="14342" max="14342" width="7.7109375" style="177" bestFit="1" customWidth="1"/>
    <col min="14343" max="14343" width="16" style="177" customWidth="1"/>
    <col min="14344" max="14344" width="12.42578125" style="177" customWidth="1"/>
    <col min="14345" max="14345" width="35.85546875" style="177" customWidth="1"/>
    <col min="14346" max="14346" width="8.85546875" style="177" customWidth="1"/>
    <col min="14347" max="14347" width="15.7109375" style="177" customWidth="1"/>
    <col min="14348" max="14349" width="8" style="177" customWidth="1"/>
    <col min="14350" max="14350" width="11" style="177" customWidth="1"/>
    <col min="14351" max="14351" width="14.5703125" style="177" customWidth="1"/>
    <col min="14352" max="14352" width="6.28515625" style="177" customWidth="1"/>
    <col min="14353" max="14353" width="10.42578125" style="177" customWidth="1"/>
    <col min="14354" max="14354" width="17.140625" style="177" customWidth="1"/>
    <col min="14355" max="14557" width="9.140625" style="177"/>
    <col min="14558" max="14558" width="3.7109375" style="177" customWidth="1"/>
    <col min="14559" max="14559" width="32" style="177" customWidth="1"/>
    <col min="14560" max="14560" width="17.5703125" style="177" customWidth="1"/>
    <col min="14561" max="14561" width="9.85546875" style="177" customWidth="1"/>
    <col min="14562" max="14562" width="16.85546875" style="177" customWidth="1"/>
    <col min="14563" max="14563" width="6.7109375" style="177" customWidth="1"/>
    <col min="14564" max="14564" width="16.5703125" style="177" customWidth="1"/>
    <col min="14565" max="14565" width="11.5703125" style="177" customWidth="1"/>
    <col min="14566" max="14566" width="30.42578125" style="177" customWidth="1"/>
    <col min="14567" max="14567" width="8.28515625" style="177" customWidth="1"/>
    <col min="14568" max="14568" width="6.5703125" style="177" customWidth="1"/>
    <col min="14569" max="14570" width="6.140625" style="177" customWidth="1"/>
    <col min="14571" max="14571" width="13.140625" style="177" customWidth="1"/>
    <col min="14572" max="14573" width="6.28515625" style="177" customWidth="1"/>
    <col min="14574" max="14574" width="10.42578125" style="177" customWidth="1"/>
    <col min="14575" max="14592" width="9.140625" style="177"/>
    <col min="14593" max="14593" width="3.7109375" style="177" customWidth="1"/>
    <col min="14594" max="14594" width="35" style="177" customWidth="1"/>
    <col min="14595" max="14595" width="17.5703125" style="177" customWidth="1"/>
    <col min="14596" max="14596" width="10.140625" style="177" customWidth="1"/>
    <col min="14597" max="14597" width="13.85546875" style="177" customWidth="1"/>
    <col min="14598" max="14598" width="7.7109375" style="177" bestFit="1" customWidth="1"/>
    <col min="14599" max="14599" width="16" style="177" customWidth="1"/>
    <col min="14600" max="14600" width="12.42578125" style="177" customWidth="1"/>
    <col min="14601" max="14601" width="35.85546875" style="177" customWidth="1"/>
    <col min="14602" max="14602" width="8.85546875" style="177" customWidth="1"/>
    <col min="14603" max="14603" width="15.7109375" style="177" customWidth="1"/>
    <col min="14604" max="14605" width="8" style="177" customWidth="1"/>
    <col min="14606" max="14606" width="11" style="177" customWidth="1"/>
    <col min="14607" max="14607" width="14.5703125" style="177" customWidth="1"/>
    <col min="14608" max="14608" width="6.28515625" style="177" customWidth="1"/>
    <col min="14609" max="14609" width="10.42578125" style="177" customWidth="1"/>
    <col min="14610" max="14610" width="17.140625" style="177" customWidth="1"/>
    <col min="14611" max="14813" width="9.140625" style="177"/>
    <col min="14814" max="14814" width="3.7109375" style="177" customWidth="1"/>
    <col min="14815" max="14815" width="32" style="177" customWidth="1"/>
    <col min="14816" max="14816" width="17.5703125" style="177" customWidth="1"/>
    <col min="14817" max="14817" width="9.85546875" style="177" customWidth="1"/>
    <col min="14818" max="14818" width="16.85546875" style="177" customWidth="1"/>
    <col min="14819" max="14819" width="6.7109375" style="177" customWidth="1"/>
    <col min="14820" max="14820" width="16.5703125" style="177" customWidth="1"/>
    <col min="14821" max="14821" width="11.5703125" style="177" customWidth="1"/>
    <col min="14822" max="14822" width="30.42578125" style="177" customWidth="1"/>
    <col min="14823" max="14823" width="8.28515625" style="177" customWidth="1"/>
    <col min="14824" max="14824" width="6.5703125" style="177" customWidth="1"/>
    <col min="14825" max="14826" width="6.140625" style="177" customWidth="1"/>
    <col min="14827" max="14827" width="13.140625" style="177" customWidth="1"/>
    <col min="14828" max="14829" width="6.28515625" style="177" customWidth="1"/>
    <col min="14830" max="14830" width="10.42578125" style="177" customWidth="1"/>
    <col min="14831" max="14848" width="9.140625" style="177"/>
    <col min="14849" max="14849" width="3.7109375" style="177" customWidth="1"/>
    <col min="14850" max="14850" width="35" style="177" customWidth="1"/>
    <col min="14851" max="14851" width="17.5703125" style="177" customWidth="1"/>
    <col min="14852" max="14852" width="10.140625" style="177" customWidth="1"/>
    <col min="14853" max="14853" width="13.85546875" style="177" customWidth="1"/>
    <col min="14854" max="14854" width="7.7109375" style="177" bestFit="1" customWidth="1"/>
    <col min="14855" max="14855" width="16" style="177" customWidth="1"/>
    <col min="14856" max="14856" width="12.42578125" style="177" customWidth="1"/>
    <col min="14857" max="14857" width="35.85546875" style="177" customWidth="1"/>
    <col min="14858" max="14858" width="8.85546875" style="177" customWidth="1"/>
    <col min="14859" max="14859" width="15.7109375" style="177" customWidth="1"/>
    <col min="14860" max="14861" width="8" style="177" customWidth="1"/>
    <col min="14862" max="14862" width="11" style="177" customWidth="1"/>
    <col min="14863" max="14863" width="14.5703125" style="177" customWidth="1"/>
    <col min="14864" max="14864" width="6.28515625" style="177" customWidth="1"/>
    <col min="14865" max="14865" width="10.42578125" style="177" customWidth="1"/>
    <col min="14866" max="14866" width="17.140625" style="177" customWidth="1"/>
    <col min="14867" max="15069" width="9.140625" style="177"/>
    <col min="15070" max="15070" width="3.7109375" style="177" customWidth="1"/>
    <col min="15071" max="15071" width="32" style="177" customWidth="1"/>
    <col min="15072" max="15072" width="17.5703125" style="177" customWidth="1"/>
    <col min="15073" max="15073" width="9.85546875" style="177" customWidth="1"/>
    <col min="15074" max="15074" width="16.85546875" style="177" customWidth="1"/>
    <col min="15075" max="15075" width="6.7109375" style="177" customWidth="1"/>
    <col min="15076" max="15076" width="16.5703125" style="177" customWidth="1"/>
    <col min="15077" max="15077" width="11.5703125" style="177" customWidth="1"/>
    <col min="15078" max="15078" width="30.42578125" style="177" customWidth="1"/>
    <col min="15079" max="15079" width="8.28515625" style="177" customWidth="1"/>
    <col min="15080" max="15080" width="6.5703125" style="177" customWidth="1"/>
    <col min="15081" max="15082" width="6.140625" style="177" customWidth="1"/>
    <col min="15083" max="15083" width="13.140625" style="177" customWidth="1"/>
    <col min="15084" max="15085" width="6.28515625" style="177" customWidth="1"/>
    <col min="15086" max="15086" width="10.42578125" style="177" customWidth="1"/>
    <col min="15087" max="15104" width="9.140625" style="177"/>
    <col min="15105" max="15105" width="3.7109375" style="177" customWidth="1"/>
    <col min="15106" max="15106" width="35" style="177" customWidth="1"/>
    <col min="15107" max="15107" width="17.5703125" style="177" customWidth="1"/>
    <col min="15108" max="15108" width="10.140625" style="177" customWidth="1"/>
    <col min="15109" max="15109" width="13.85546875" style="177" customWidth="1"/>
    <col min="15110" max="15110" width="7.7109375" style="177" bestFit="1" customWidth="1"/>
    <col min="15111" max="15111" width="16" style="177" customWidth="1"/>
    <col min="15112" max="15112" width="12.42578125" style="177" customWidth="1"/>
    <col min="15113" max="15113" width="35.85546875" style="177" customWidth="1"/>
    <col min="15114" max="15114" width="8.85546875" style="177" customWidth="1"/>
    <col min="15115" max="15115" width="15.7109375" style="177" customWidth="1"/>
    <col min="15116" max="15117" width="8" style="177" customWidth="1"/>
    <col min="15118" max="15118" width="11" style="177" customWidth="1"/>
    <col min="15119" max="15119" width="14.5703125" style="177" customWidth="1"/>
    <col min="15120" max="15120" width="6.28515625" style="177" customWidth="1"/>
    <col min="15121" max="15121" width="10.42578125" style="177" customWidth="1"/>
    <col min="15122" max="15122" width="17.140625" style="177" customWidth="1"/>
    <col min="15123" max="15325" width="9.140625" style="177"/>
    <col min="15326" max="15326" width="3.7109375" style="177" customWidth="1"/>
    <col min="15327" max="15327" width="32" style="177" customWidth="1"/>
    <col min="15328" max="15328" width="17.5703125" style="177" customWidth="1"/>
    <col min="15329" max="15329" width="9.85546875" style="177" customWidth="1"/>
    <col min="15330" max="15330" width="16.85546875" style="177" customWidth="1"/>
    <col min="15331" max="15331" width="6.7109375" style="177" customWidth="1"/>
    <col min="15332" max="15332" width="16.5703125" style="177" customWidth="1"/>
    <col min="15333" max="15333" width="11.5703125" style="177" customWidth="1"/>
    <col min="15334" max="15334" width="30.42578125" style="177" customWidth="1"/>
    <col min="15335" max="15335" width="8.28515625" style="177" customWidth="1"/>
    <col min="15336" max="15336" width="6.5703125" style="177" customWidth="1"/>
    <col min="15337" max="15338" width="6.140625" style="177" customWidth="1"/>
    <col min="15339" max="15339" width="13.140625" style="177" customWidth="1"/>
    <col min="15340" max="15341" width="6.28515625" style="177" customWidth="1"/>
    <col min="15342" max="15342" width="10.42578125" style="177" customWidth="1"/>
    <col min="15343" max="15360" width="9.140625" style="177"/>
    <col min="15361" max="15361" width="3.7109375" style="177" customWidth="1"/>
    <col min="15362" max="15362" width="35" style="177" customWidth="1"/>
    <col min="15363" max="15363" width="17.5703125" style="177" customWidth="1"/>
    <col min="15364" max="15364" width="10.140625" style="177" customWidth="1"/>
    <col min="15365" max="15365" width="13.85546875" style="177" customWidth="1"/>
    <col min="15366" max="15366" width="7.7109375" style="177" bestFit="1" customWidth="1"/>
    <col min="15367" max="15367" width="16" style="177" customWidth="1"/>
    <col min="15368" max="15368" width="12.42578125" style="177" customWidth="1"/>
    <col min="15369" max="15369" width="35.85546875" style="177" customWidth="1"/>
    <col min="15370" max="15370" width="8.85546875" style="177" customWidth="1"/>
    <col min="15371" max="15371" width="15.7109375" style="177" customWidth="1"/>
    <col min="15372" max="15373" width="8" style="177" customWidth="1"/>
    <col min="15374" max="15374" width="11" style="177" customWidth="1"/>
    <col min="15375" max="15375" width="14.5703125" style="177" customWidth="1"/>
    <col min="15376" max="15376" width="6.28515625" style="177" customWidth="1"/>
    <col min="15377" max="15377" width="10.42578125" style="177" customWidth="1"/>
    <col min="15378" max="15378" width="17.140625" style="177" customWidth="1"/>
    <col min="15379" max="15581" width="9.140625" style="177"/>
    <col min="15582" max="15582" width="3.7109375" style="177" customWidth="1"/>
    <col min="15583" max="15583" width="32" style="177" customWidth="1"/>
    <col min="15584" max="15584" width="17.5703125" style="177" customWidth="1"/>
    <col min="15585" max="15585" width="9.85546875" style="177" customWidth="1"/>
    <col min="15586" max="15586" width="16.85546875" style="177" customWidth="1"/>
    <col min="15587" max="15587" width="6.7109375" style="177" customWidth="1"/>
    <col min="15588" max="15588" width="16.5703125" style="177" customWidth="1"/>
    <col min="15589" max="15589" width="11.5703125" style="177" customWidth="1"/>
    <col min="15590" max="15590" width="30.42578125" style="177" customWidth="1"/>
    <col min="15591" max="15591" width="8.28515625" style="177" customWidth="1"/>
    <col min="15592" max="15592" width="6.5703125" style="177" customWidth="1"/>
    <col min="15593" max="15594" width="6.140625" style="177" customWidth="1"/>
    <col min="15595" max="15595" width="13.140625" style="177" customWidth="1"/>
    <col min="15596" max="15597" width="6.28515625" style="177" customWidth="1"/>
    <col min="15598" max="15598" width="10.42578125" style="177" customWidth="1"/>
    <col min="15599" max="15616" width="9.140625" style="177"/>
    <col min="15617" max="15617" width="3.7109375" style="177" customWidth="1"/>
    <col min="15618" max="15618" width="35" style="177" customWidth="1"/>
    <col min="15619" max="15619" width="17.5703125" style="177" customWidth="1"/>
    <col min="15620" max="15620" width="10.140625" style="177" customWidth="1"/>
    <col min="15621" max="15621" width="13.85546875" style="177" customWidth="1"/>
    <col min="15622" max="15622" width="7.7109375" style="177" bestFit="1" customWidth="1"/>
    <col min="15623" max="15623" width="16" style="177" customWidth="1"/>
    <col min="15624" max="15624" width="12.42578125" style="177" customWidth="1"/>
    <col min="15625" max="15625" width="35.85546875" style="177" customWidth="1"/>
    <col min="15626" max="15626" width="8.85546875" style="177" customWidth="1"/>
    <col min="15627" max="15627" width="15.7109375" style="177" customWidth="1"/>
    <col min="15628" max="15629" width="8" style="177" customWidth="1"/>
    <col min="15630" max="15630" width="11" style="177" customWidth="1"/>
    <col min="15631" max="15631" width="14.5703125" style="177" customWidth="1"/>
    <col min="15632" max="15632" width="6.28515625" style="177" customWidth="1"/>
    <col min="15633" max="15633" width="10.42578125" style="177" customWidth="1"/>
    <col min="15634" max="15634" width="17.140625" style="177" customWidth="1"/>
    <col min="15635" max="15837" width="9.140625" style="177"/>
    <col min="15838" max="15838" width="3.7109375" style="177" customWidth="1"/>
    <col min="15839" max="15839" width="32" style="177" customWidth="1"/>
    <col min="15840" max="15840" width="17.5703125" style="177" customWidth="1"/>
    <col min="15841" max="15841" width="9.85546875" style="177" customWidth="1"/>
    <col min="15842" max="15842" width="16.85546875" style="177" customWidth="1"/>
    <col min="15843" max="15843" width="6.7109375" style="177" customWidth="1"/>
    <col min="15844" max="15844" width="16.5703125" style="177" customWidth="1"/>
    <col min="15845" max="15845" width="11.5703125" style="177" customWidth="1"/>
    <col min="15846" max="15846" width="30.42578125" style="177" customWidth="1"/>
    <col min="15847" max="15847" width="8.28515625" style="177" customWidth="1"/>
    <col min="15848" max="15848" width="6.5703125" style="177" customWidth="1"/>
    <col min="15849" max="15850" width="6.140625" style="177" customWidth="1"/>
    <col min="15851" max="15851" width="13.140625" style="177" customWidth="1"/>
    <col min="15852" max="15853" width="6.28515625" style="177" customWidth="1"/>
    <col min="15854" max="15854" width="10.42578125" style="177" customWidth="1"/>
    <col min="15855" max="15872" width="9.140625" style="177"/>
    <col min="15873" max="15873" width="3.7109375" style="177" customWidth="1"/>
    <col min="15874" max="15874" width="35" style="177" customWidth="1"/>
    <col min="15875" max="15875" width="17.5703125" style="177" customWidth="1"/>
    <col min="15876" max="15876" width="10.140625" style="177" customWidth="1"/>
    <col min="15877" max="15877" width="13.85546875" style="177" customWidth="1"/>
    <col min="15878" max="15878" width="7.7109375" style="177" bestFit="1" customWidth="1"/>
    <col min="15879" max="15879" width="16" style="177" customWidth="1"/>
    <col min="15880" max="15880" width="12.42578125" style="177" customWidth="1"/>
    <col min="15881" max="15881" width="35.85546875" style="177" customWidth="1"/>
    <col min="15882" max="15882" width="8.85546875" style="177" customWidth="1"/>
    <col min="15883" max="15883" width="15.7109375" style="177" customWidth="1"/>
    <col min="15884" max="15885" width="8" style="177" customWidth="1"/>
    <col min="15886" max="15886" width="11" style="177" customWidth="1"/>
    <col min="15887" max="15887" width="14.5703125" style="177" customWidth="1"/>
    <col min="15888" max="15888" width="6.28515625" style="177" customWidth="1"/>
    <col min="15889" max="15889" width="10.42578125" style="177" customWidth="1"/>
    <col min="15890" max="15890" width="17.140625" style="177" customWidth="1"/>
    <col min="15891" max="16093" width="9.140625" style="177"/>
    <col min="16094" max="16094" width="3.7109375" style="177" customWidth="1"/>
    <col min="16095" max="16095" width="32" style="177" customWidth="1"/>
    <col min="16096" max="16096" width="17.5703125" style="177" customWidth="1"/>
    <col min="16097" max="16097" width="9.85546875" style="177" customWidth="1"/>
    <col min="16098" max="16098" width="16.85546875" style="177" customWidth="1"/>
    <col min="16099" max="16099" width="6.7109375" style="177" customWidth="1"/>
    <col min="16100" max="16100" width="16.5703125" style="177" customWidth="1"/>
    <col min="16101" max="16101" width="11.5703125" style="177" customWidth="1"/>
    <col min="16102" max="16102" width="30.42578125" style="177" customWidth="1"/>
    <col min="16103" max="16103" width="8.28515625" style="177" customWidth="1"/>
    <col min="16104" max="16104" width="6.5703125" style="177" customWidth="1"/>
    <col min="16105" max="16106" width="6.140625" style="177" customWidth="1"/>
    <col min="16107" max="16107" width="13.140625" style="177" customWidth="1"/>
    <col min="16108" max="16109" width="6.28515625" style="177" customWidth="1"/>
    <col min="16110" max="16110" width="10.42578125" style="177" customWidth="1"/>
    <col min="16111" max="16128" width="9.140625" style="177"/>
    <col min="16129" max="16129" width="3.7109375" style="177" customWidth="1"/>
    <col min="16130" max="16130" width="35" style="177" customWidth="1"/>
    <col min="16131" max="16131" width="17.5703125" style="177" customWidth="1"/>
    <col min="16132" max="16132" width="10.140625" style="177" customWidth="1"/>
    <col min="16133" max="16133" width="13.85546875" style="177" customWidth="1"/>
    <col min="16134" max="16134" width="7.7109375" style="177" bestFit="1" customWidth="1"/>
    <col min="16135" max="16135" width="16" style="177" customWidth="1"/>
    <col min="16136" max="16136" width="12.42578125" style="177" customWidth="1"/>
    <col min="16137" max="16137" width="35.85546875" style="177" customWidth="1"/>
    <col min="16138" max="16138" width="8.85546875" style="177" customWidth="1"/>
    <col min="16139" max="16139" width="15.7109375" style="177" customWidth="1"/>
    <col min="16140" max="16141" width="8" style="177" customWidth="1"/>
    <col min="16142" max="16142" width="11" style="177" customWidth="1"/>
    <col min="16143" max="16143" width="14.5703125" style="177" customWidth="1"/>
    <col min="16144" max="16144" width="6.28515625" style="177" customWidth="1"/>
    <col min="16145" max="16145" width="10.42578125" style="177" customWidth="1"/>
    <col min="16146" max="16146" width="17.140625" style="177" customWidth="1"/>
    <col min="16147" max="16349" width="9.140625" style="177"/>
    <col min="16350" max="16350" width="3.7109375" style="177" customWidth="1"/>
    <col min="16351" max="16351" width="32" style="177" customWidth="1"/>
    <col min="16352" max="16352" width="17.5703125" style="177" customWidth="1"/>
    <col min="16353" max="16353" width="9.85546875" style="177" customWidth="1"/>
    <col min="16354" max="16354" width="16.85546875" style="177" customWidth="1"/>
    <col min="16355" max="16355" width="6.7109375" style="177" customWidth="1"/>
    <col min="16356" max="16356" width="16.5703125" style="177" customWidth="1"/>
    <col min="16357" max="16357" width="11.5703125" style="177" customWidth="1"/>
    <col min="16358" max="16358" width="30.42578125" style="177" customWidth="1"/>
    <col min="16359" max="16359" width="8.28515625" style="177" customWidth="1"/>
    <col min="16360" max="16360" width="6.5703125" style="177" customWidth="1"/>
    <col min="16361" max="16362" width="6.140625" style="177" customWidth="1"/>
    <col min="16363" max="16363" width="13.140625" style="177" customWidth="1"/>
    <col min="16364" max="16365" width="6.28515625" style="177" customWidth="1"/>
    <col min="16366" max="16366" width="10.42578125" style="177" customWidth="1"/>
    <col min="16367" max="16384" width="9.140625" style="177"/>
  </cols>
  <sheetData>
    <row r="1" spans="1:18" ht="18" customHeight="1" x14ac:dyDescent="0.2">
      <c r="E1" s="515"/>
      <c r="F1" s="515"/>
    </row>
    <row r="2" spans="1:18" x14ac:dyDescent="0.2">
      <c r="A2" s="1042" t="s">
        <v>283</v>
      </c>
      <c r="B2" s="1042"/>
      <c r="C2" s="1042"/>
      <c r="D2" s="1042"/>
      <c r="E2" s="1042"/>
      <c r="F2" s="1042"/>
      <c r="G2" s="1042"/>
      <c r="H2" s="1042"/>
    </row>
    <row r="4" spans="1:18" x14ac:dyDescent="0.2">
      <c r="A4" s="1043" t="str">
        <f>'С С Р'!A6:G6</f>
        <v>Выполнение изыскательских работ, разработка проектной документации, рабочей документации и на их основе составление сметы на строительство тепловой сети для осуществления подключения объекта капитального строительства «Школа на 800 мест», расположенного по адресам: г. Москва, ш. Дмитровское, вл.107; г. Москва, ш. Дмитровское, вл.107, стр.11А</v>
      </c>
      <c r="B4" s="1044"/>
      <c r="C4" s="1044"/>
      <c r="D4" s="1044"/>
      <c r="E4" s="1044"/>
      <c r="F4" s="1044"/>
      <c r="G4" s="1044"/>
      <c r="H4" s="1044"/>
      <c r="N4" s="518"/>
    </row>
    <row r="5" spans="1:18" ht="96.75" customHeight="1" x14ac:dyDescent="0.2">
      <c r="A5" s="1045"/>
      <c r="B5" s="1045"/>
      <c r="C5" s="1045"/>
      <c r="D5" s="1045"/>
      <c r="E5" s="1045"/>
      <c r="F5" s="1045"/>
      <c r="G5" s="1045"/>
      <c r="H5" s="1045"/>
    </row>
    <row r="6" spans="1:18" ht="17.25" customHeight="1" x14ac:dyDescent="0.2">
      <c r="A6" s="1046" t="s">
        <v>284</v>
      </c>
      <c r="B6" s="1047"/>
      <c r="C6" s="1047"/>
      <c r="D6" s="1047"/>
      <c r="E6" s="1047"/>
      <c r="F6" s="1047"/>
      <c r="G6" s="1047"/>
      <c r="H6" s="1047"/>
    </row>
    <row r="7" spans="1:18" ht="24.75" customHeight="1" x14ac:dyDescent="0.2">
      <c r="A7" s="520"/>
      <c r="B7" s="521"/>
      <c r="C7" s="522"/>
      <c r="D7" s="523"/>
      <c r="E7" s="522"/>
      <c r="F7" s="522"/>
      <c r="G7" s="522"/>
      <c r="H7" s="523"/>
      <c r="K7" s="519" t="s">
        <v>285</v>
      </c>
    </row>
    <row r="8" spans="1:18" ht="15.75" customHeight="1" x14ac:dyDescent="0.2">
      <c r="A8" s="520"/>
      <c r="B8" s="524" t="s">
        <v>287</v>
      </c>
      <c r="C8" s="525">
        <f>E8*10000</f>
        <v>1000</v>
      </c>
      <c r="D8" s="526"/>
      <c r="E8" s="527">
        <f>Т.с.!C77</f>
        <v>0.1</v>
      </c>
      <c r="F8" s="528" t="s">
        <v>15</v>
      </c>
      <c r="G8" s="529"/>
      <c r="H8" s="530"/>
      <c r="I8" s="517" t="s">
        <v>433</v>
      </c>
      <c r="J8" s="1048" t="s">
        <v>286</v>
      </c>
      <c r="K8" s="1049"/>
      <c r="L8" s="1049"/>
      <c r="M8" s="724"/>
      <c r="N8" s="724"/>
      <c r="O8" s="724"/>
      <c r="P8" s="724"/>
      <c r="Q8" s="724"/>
      <c r="R8" s="725"/>
    </row>
    <row r="9" spans="1:18" x14ac:dyDescent="0.2">
      <c r="A9" s="520"/>
      <c r="B9" s="524" t="s">
        <v>290</v>
      </c>
      <c r="C9" s="531">
        <v>2.4</v>
      </c>
      <c r="D9" s="526"/>
      <c r="E9" s="532"/>
      <c r="F9" s="533"/>
      <c r="G9" s="529"/>
      <c r="H9" s="530"/>
      <c r="J9" s="726" t="s">
        <v>288</v>
      </c>
      <c r="K9" s="727" t="s">
        <v>289</v>
      </c>
      <c r="L9" s="724"/>
      <c r="M9" s="724"/>
      <c r="N9" s="724"/>
      <c r="O9" s="724"/>
      <c r="P9" s="724"/>
      <c r="Q9" s="724"/>
      <c r="R9" s="725"/>
    </row>
    <row r="10" spans="1:18" x14ac:dyDescent="0.2">
      <c r="A10" s="520"/>
      <c r="B10" s="534" t="s">
        <v>293</v>
      </c>
      <c r="C10" s="786">
        <f>IF(E8&lt;=1,1,IF(E8&lt;=2,2,IF(E8&lt;=3,3,IF(E8&lt;=4,4,IF(E8&lt;=5,5,IF(E8&lt;=6,6))))))</f>
        <v>1</v>
      </c>
      <c r="D10" s="535"/>
      <c r="E10" s="532"/>
      <c r="F10" s="529"/>
      <c r="G10" s="529"/>
      <c r="H10" s="530"/>
      <c r="J10" s="518" t="s">
        <v>291</v>
      </c>
      <c r="K10" s="727" t="s">
        <v>292</v>
      </c>
      <c r="L10" s="724"/>
      <c r="M10" s="724"/>
      <c r="N10" s="724"/>
      <c r="O10" s="724"/>
      <c r="P10" s="724"/>
      <c r="Q10" s="724"/>
      <c r="R10" s="725"/>
    </row>
    <row r="11" spans="1:18" ht="18.600000000000001" customHeight="1" x14ac:dyDescent="0.2">
      <c r="A11" s="520"/>
      <c r="B11" s="536" t="s">
        <v>296</v>
      </c>
      <c r="C11" s="537">
        <f>C10*4</f>
        <v>4</v>
      </c>
      <c r="D11" s="535"/>
      <c r="E11" s="532"/>
      <c r="F11" s="529"/>
      <c r="G11" s="529"/>
      <c r="H11" s="530"/>
      <c r="I11" s="517" t="s">
        <v>297</v>
      </c>
      <c r="J11" s="518" t="s">
        <v>294</v>
      </c>
      <c r="K11" s="727" t="s">
        <v>295</v>
      </c>
      <c r="L11" s="724"/>
      <c r="M11" s="724"/>
      <c r="N11" s="724"/>
      <c r="O11" s="724"/>
      <c r="P11" s="724"/>
      <c r="Q11" s="724"/>
      <c r="R11" s="725"/>
    </row>
    <row r="12" spans="1:18" ht="18.600000000000001" customHeight="1" x14ac:dyDescent="0.2">
      <c r="A12" s="1050" t="s">
        <v>300</v>
      </c>
      <c r="B12" s="1051"/>
      <c r="C12" s="1051"/>
      <c r="D12" s="1051"/>
      <c r="E12" s="1051"/>
      <c r="F12" s="1051"/>
      <c r="G12" s="1051"/>
      <c r="H12" s="1052"/>
      <c r="I12" s="538"/>
      <c r="J12" s="518" t="s">
        <v>298</v>
      </c>
      <c r="K12" s="727" t="s">
        <v>299</v>
      </c>
      <c r="L12" s="724"/>
      <c r="M12" s="724"/>
      <c r="N12" s="724"/>
      <c r="O12" s="724"/>
      <c r="P12" s="724"/>
      <c r="Q12" s="724"/>
      <c r="R12" s="725"/>
    </row>
    <row r="13" spans="1:18" ht="46.5" customHeight="1" x14ac:dyDescent="0.2">
      <c r="A13" s="539" t="s">
        <v>301</v>
      </c>
      <c r="B13" s="540" t="s">
        <v>302</v>
      </c>
      <c r="C13" s="540" t="s">
        <v>303</v>
      </c>
      <c r="D13" s="541" t="s">
        <v>304</v>
      </c>
      <c r="E13" s="540" t="s">
        <v>305</v>
      </c>
      <c r="F13" s="540" t="s">
        <v>306</v>
      </c>
      <c r="G13" s="540" t="s">
        <v>0</v>
      </c>
      <c r="H13" s="541" t="s">
        <v>307</v>
      </c>
      <c r="J13" s="542" t="s">
        <v>434</v>
      </c>
      <c r="K13" s="542" t="s">
        <v>309</v>
      </c>
      <c r="L13" s="542"/>
      <c r="M13" s="542"/>
      <c r="N13" s="542"/>
      <c r="O13" s="542"/>
    </row>
    <row r="14" spans="1:18" ht="18.600000000000001" customHeight="1" x14ac:dyDescent="0.2">
      <c r="A14" s="718"/>
      <c r="B14" s="1039" t="s">
        <v>310</v>
      </c>
      <c r="C14" s="1040"/>
      <c r="D14" s="1040"/>
      <c r="E14" s="1040"/>
      <c r="F14" s="1040"/>
      <c r="G14" s="1041"/>
      <c r="H14" s="543"/>
      <c r="J14" s="728"/>
      <c r="K14" s="729"/>
      <c r="L14" s="545" t="s">
        <v>311</v>
      </c>
      <c r="M14" s="546"/>
      <c r="N14" s="546"/>
      <c r="O14" s="547"/>
    </row>
    <row r="15" spans="1:18" ht="18.600000000000001" customHeight="1" x14ac:dyDescent="0.2">
      <c r="A15" s="1053">
        <v>1</v>
      </c>
      <c r="B15" s="1062" t="s">
        <v>312</v>
      </c>
      <c r="C15" s="548" t="s">
        <v>313</v>
      </c>
      <c r="D15" s="549">
        <f>IF(E8&lt;1,L18,IF(E8&gt;1,M18,N18))</f>
        <v>5021</v>
      </c>
      <c r="E15" s="720" t="s">
        <v>314</v>
      </c>
      <c r="F15" s="550">
        <v>1</v>
      </c>
      <c r="G15" s="551" t="str">
        <f>CONCATENATE(D15,"*",F16,"*",F15)</f>
        <v>5021*0,15*1</v>
      </c>
      <c r="H15" s="552">
        <f>ROUND(D15*F16*F15,2)</f>
        <v>753.15</v>
      </c>
      <c r="J15" s="518" t="s">
        <v>315</v>
      </c>
      <c r="K15" s="555" t="s">
        <v>286</v>
      </c>
      <c r="L15" s="554">
        <v>1</v>
      </c>
      <c r="M15" s="554">
        <v>5</v>
      </c>
      <c r="N15" s="554">
        <v>10</v>
      </c>
      <c r="O15" s="555" t="s">
        <v>316</v>
      </c>
    </row>
    <row r="16" spans="1:18" ht="18.600000000000001" customHeight="1" x14ac:dyDescent="0.2">
      <c r="A16" s="1055"/>
      <c r="B16" s="1063"/>
      <c r="C16" s="557" t="s">
        <v>317</v>
      </c>
      <c r="D16" s="558"/>
      <c r="E16" s="721" t="s">
        <v>318</v>
      </c>
      <c r="F16" s="559">
        <v>0.15</v>
      </c>
      <c r="G16" s="560"/>
      <c r="H16" s="561"/>
      <c r="J16" s="518"/>
      <c r="K16" s="518"/>
      <c r="L16" s="562" t="s">
        <v>6</v>
      </c>
      <c r="M16" s="562" t="s">
        <v>319</v>
      </c>
      <c r="N16" s="562" t="s">
        <v>320</v>
      </c>
      <c r="O16" s="562" t="s">
        <v>321</v>
      </c>
    </row>
    <row r="17" spans="1:18" ht="18.600000000000001" customHeight="1" x14ac:dyDescent="0.2">
      <c r="A17" s="1053">
        <v>2</v>
      </c>
      <c r="B17" s="1062" t="s">
        <v>324</v>
      </c>
      <c r="C17" s="548" t="s">
        <v>313</v>
      </c>
      <c r="D17" s="549">
        <f>IF(E8&lt;1,L18,IF(E8&gt;1,M18,N18))</f>
        <v>5021</v>
      </c>
      <c r="E17" s="720" t="s">
        <v>314</v>
      </c>
      <c r="F17" s="716">
        <v>1</v>
      </c>
      <c r="G17" s="551" t="str">
        <f>CONCATENATE(D17,"*",F18,"*",F17)</f>
        <v>5021*0,1*1</v>
      </c>
      <c r="H17" s="552">
        <f>ROUND(D17*F18*F17,2)</f>
        <v>502.1</v>
      </c>
      <c r="J17" s="518" t="s">
        <v>322</v>
      </c>
      <c r="K17" s="518" t="s">
        <v>288</v>
      </c>
      <c r="L17" s="518">
        <v>4318</v>
      </c>
      <c r="M17" s="518">
        <v>4928</v>
      </c>
      <c r="N17" s="518">
        <v>5710</v>
      </c>
      <c r="O17" s="518">
        <v>664</v>
      </c>
    </row>
    <row r="18" spans="1:18" ht="18.600000000000001" customHeight="1" x14ac:dyDescent="0.2">
      <c r="A18" s="1055"/>
      <c r="B18" s="1063"/>
      <c r="C18" s="557" t="s">
        <v>326</v>
      </c>
      <c r="D18" s="558"/>
      <c r="E18" s="721" t="s">
        <v>318</v>
      </c>
      <c r="F18" s="559">
        <v>0.1</v>
      </c>
      <c r="G18" s="560"/>
      <c r="H18" s="564"/>
      <c r="J18" s="518" t="s">
        <v>323</v>
      </c>
      <c r="K18" s="518" t="s">
        <v>291</v>
      </c>
      <c r="L18" s="565">
        <v>5021</v>
      </c>
      <c r="M18" s="518">
        <v>5998</v>
      </c>
      <c r="N18" s="518">
        <v>6643</v>
      </c>
      <c r="O18" s="518">
        <v>785</v>
      </c>
    </row>
    <row r="19" spans="1:18" ht="25.5" x14ac:dyDescent="0.2">
      <c r="A19" s="567">
        <v>3</v>
      </c>
      <c r="B19" s="717" t="s">
        <v>328</v>
      </c>
      <c r="C19" s="568" t="s">
        <v>329</v>
      </c>
      <c r="D19" s="569">
        <v>1153</v>
      </c>
      <c r="E19" s="570" t="s">
        <v>314</v>
      </c>
      <c r="F19" s="571">
        <v>1</v>
      </c>
      <c r="G19" s="572" t="str">
        <f>CONCATENATE(D19,"*",F19)</f>
        <v>1153*1</v>
      </c>
      <c r="H19" s="573">
        <f>ROUND(D19*F19,2)</f>
        <v>1153</v>
      </c>
      <c r="I19" s="730" t="s">
        <v>435</v>
      </c>
      <c r="J19" s="518" t="s">
        <v>325</v>
      </c>
      <c r="K19" s="518" t="s">
        <v>294</v>
      </c>
      <c r="L19" s="565">
        <v>6051</v>
      </c>
      <c r="M19" s="518">
        <v>6897</v>
      </c>
      <c r="N19" s="518">
        <v>7999</v>
      </c>
      <c r="O19" s="518">
        <v>936</v>
      </c>
    </row>
    <row r="20" spans="1:18" ht="21.75" customHeight="1" x14ac:dyDescent="0.2">
      <c r="A20" s="1064">
        <v>4</v>
      </c>
      <c r="B20" s="1062" t="s">
        <v>330</v>
      </c>
      <c r="C20" s="548" t="s">
        <v>331</v>
      </c>
      <c r="D20" s="549">
        <v>11751</v>
      </c>
      <c r="E20" s="718" t="s">
        <v>314</v>
      </c>
      <c r="F20" s="563">
        <v>1</v>
      </c>
      <c r="G20" s="551" t="str">
        <f>CONCATENATE(D20,"*",F21,"*",F20)</f>
        <v>11751*1,2*1</v>
      </c>
      <c r="H20" s="552">
        <f>ROUND(D20*F21*F20,2)</f>
        <v>14101.2</v>
      </c>
      <c r="I20" s="730" t="s">
        <v>435</v>
      </c>
      <c r="J20" s="518" t="s">
        <v>327</v>
      </c>
      <c r="K20" s="518" t="s">
        <v>298</v>
      </c>
      <c r="L20" s="565">
        <v>7318</v>
      </c>
      <c r="M20" s="518">
        <v>8394</v>
      </c>
      <c r="N20" s="518">
        <v>9680</v>
      </c>
      <c r="O20" s="518">
        <v>1145</v>
      </c>
    </row>
    <row r="21" spans="1:18" ht="20.25" customHeight="1" thickBot="1" x14ac:dyDescent="0.25">
      <c r="A21" s="1065"/>
      <c r="B21" s="1063"/>
      <c r="C21" s="574" t="s">
        <v>332</v>
      </c>
      <c r="D21" s="558"/>
      <c r="E21" s="719"/>
      <c r="F21" s="575">
        <v>1.2</v>
      </c>
      <c r="G21" s="576"/>
      <c r="H21" s="564"/>
      <c r="I21" s="731"/>
      <c r="J21" s="732">
        <f>L18</f>
        <v>5021</v>
      </c>
    </row>
    <row r="22" spans="1:18" ht="37.5" customHeight="1" x14ac:dyDescent="0.2">
      <c r="A22" s="715">
        <v>5</v>
      </c>
      <c r="B22" s="577" t="s">
        <v>333</v>
      </c>
      <c r="C22" s="578" t="s">
        <v>334</v>
      </c>
      <c r="D22" s="579">
        <v>5100</v>
      </c>
      <c r="E22" s="580" t="s">
        <v>335</v>
      </c>
      <c r="F22" s="581">
        <v>1</v>
      </c>
      <c r="G22" s="572" t="str">
        <f>CONCATENATE(D22,"*",F22)</f>
        <v>5100*1</v>
      </c>
      <c r="H22" s="573">
        <f>ROUND(D22*F22,2)</f>
        <v>5100</v>
      </c>
      <c r="I22" s="730" t="s">
        <v>435</v>
      </c>
    </row>
    <row r="23" spans="1:18" ht="20.25" customHeight="1" x14ac:dyDescent="0.2">
      <c r="A23" s="570">
        <v>6</v>
      </c>
      <c r="B23" s="577" t="s">
        <v>336</v>
      </c>
      <c r="C23" s="578" t="s">
        <v>337</v>
      </c>
      <c r="D23" s="579">
        <v>6632</v>
      </c>
      <c r="E23" s="580" t="s">
        <v>335</v>
      </c>
      <c r="F23" s="581">
        <v>1</v>
      </c>
      <c r="G23" s="572" t="str">
        <f>CONCATENATE(D23,"*",F23)</f>
        <v>6632*1</v>
      </c>
      <c r="H23" s="573">
        <f>ROUND(D23*F23,2)</f>
        <v>6632</v>
      </c>
      <c r="I23" s="730" t="s">
        <v>435</v>
      </c>
    </row>
    <row r="24" spans="1:18" ht="51" x14ac:dyDescent="0.2">
      <c r="A24" s="582">
        <v>7</v>
      </c>
      <c r="B24" s="577" t="s">
        <v>338</v>
      </c>
      <c r="C24" s="578" t="s">
        <v>339</v>
      </c>
      <c r="D24" s="579">
        <v>186</v>
      </c>
      <c r="E24" s="580" t="s">
        <v>340</v>
      </c>
      <c r="F24" s="780">
        <f>IF(C8&gt;1000,7,2)</f>
        <v>2</v>
      </c>
      <c r="G24" s="572" t="str">
        <f>CONCATENATE(D24,"*",F24)</f>
        <v>186*2</v>
      </c>
      <c r="H24" s="573">
        <f>ROUND(D24*F24,2)</f>
        <v>372</v>
      </c>
      <c r="I24" s="779" t="s">
        <v>436</v>
      </c>
    </row>
    <row r="25" spans="1:18" ht="25.5" x14ac:dyDescent="0.2">
      <c r="A25" s="582">
        <v>8</v>
      </c>
      <c r="B25" s="577" t="s">
        <v>341</v>
      </c>
      <c r="C25" s="578" t="s">
        <v>342</v>
      </c>
      <c r="D25" s="579">
        <v>104</v>
      </c>
      <c r="E25" s="580" t="s">
        <v>340</v>
      </c>
      <c r="F25" s="780">
        <f>IF(C8&gt;1000,4,2)</f>
        <v>2</v>
      </c>
      <c r="G25" s="572" t="str">
        <f>CONCATENATE(D25,"*",F25)</f>
        <v>104*2</v>
      </c>
      <c r="H25" s="573">
        <f>ROUND(D25*F25,2)</f>
        <v>208</v>
      </c>
      <c r="I25" s="779" t="s">
        <v>437</v>
      </c>
    </row>
    <row r="26" spans="1:18" ht="25.5" x14ac:dyDescent="0.2">
      <c r="A26" s="582">
        <v>9</v>
      </c>
      <c r="B26" s="577" t="s">
        <v>343</v>
      </c>
      <c r="C26" s="578" t="s">
        <v>344</v>
      </c>
      <c r="D26" s="579">
        <v>66</v>
      </c>
      <c r="E26" s="580" t="s">
        <v>340</v>
      </c>
      <c r="F26" s="780">
        <f>IF(C8&gt;1000,7,2)</f>
        <v>2</v>
      </c>
      <c r="G26" s="572" t="str">
        <f>CONCATENATE(D26,"*",F26)</f>
        <v>66*2</v>
      </c>
      <c r="H26" s="573">
        <f>ROUND(D26*F26,2)</f>
        <v>132</v>
      </c>
      <c r="I26" s="730" t="s">
        <v>435</v>
      </c>
      <c r="O26" s="777"/>
    </row>
    <row r="27" spans="1:18" x14ac:dyDescent="0.2">
      <c r="A27" s="580"/>
      <c r="B27" s="1066" t="s">
        <v>346</v>
      </c>
      <c r="C27" s="1067"/>
      <c r="D27" s="1067"/>
      <c r="E27" s="1067"/>
      <c r="F27" s="1067"/>
      <c r="G27" s="1068"/>
      <c r="H27" s="585">
        <f>SUM(H15:H26)</f>
        <v>28953.45</v>
      </c>
    </row>
    <row r="28" spans="1:18" ht="27.75" customHeight="1" x14ac:dyDescent="0.2">
      <c r="A28" s="570"/>
      <c r="B28" s="1069" t="s">
        <v>347</v>
      </c>
      <c r="C28" s="1070"/>
      <c r="D28" s="1070"/>
      <c r="E28" s="1070"/>
      <c r="F28" s="1070"/>
      <c r="G28" s="1071"/>
      <c r="H28" s="573"/>
      <c r="J28" s="1072" t="s">
        <v>350</v>
      </c>
      <c r="K28" s="1073"/>
      <c r="L28" s="1073"/>
      <c r="M28" s="1073"/>
      <c r="N28" s="1074"/>
    </row>
    <row r="29" spans="1:18" ht="15" customHeight="1" thickBot="1" x14ac:dyDescent="0.25">
      <c r="A29" s="1053">
        <v>10</v>
      </c>
      <c r="B29" s="1075" t="s">
        <v>348</v>
      </c>
      <c r="C29" s="548" t="s">
        <v>349</v>
      </c>
      <c r="D29" s="177">
        <f>IF($C8&lt;=100,$J31,IF(AND($C8&gt;101,$C8&lt;=500),$K31,IF(AND($C8&gt;501,$C8&lt;=1000),$L31,IF(AND($C8&gt;1001,$C8&lt;=2000),$M31,IF($C8&gt;2001,$M31+($C8-$M30)/$K30*$N31,0)))))</f>
        <v>1595</v>
      </c>
      <c r="E29" s="720" t="s">
        <v>314</v>
      </c>
      <c r="F29" s="587">
        <v>1</v>
      </c>
      <c r="G29" s="588" t="str">
        <f>CONCATENATE(D29,"*",F30,"*",F31,"*",F29)</f>
        <v>1595*1,15*1*1</v>
      </c>
      <c r="H29" s="589">
        <f>ROUND(D29*F30*F31*F29,2)</f>
        <v>1834.25</v>
      </c>
      <c r="I29" s="778">
        <f>C8</f>
        <v>1000</v>
      </c>
      <c r="J29" s="596">
        <v>1</v>
      </c>
      <c r="K29" s="596">
        <v>2</v>
      </c>
      <c r="L29" s="596">
        <v>3</v>
      </c>
      <c r="M29" s="596">
        <v>4</v>
      </c>
      <c r="N29" s="596">
        <v>5</v>
      </c>
      <c r="O29" s="597" t="s">
        <v>353</v>
      </c>
    </row>
    <row r="30" spans="1:18" ht="21" customHeight="1" thickBot="1" x14ac:dyDescent="0.25">
      <c r="A30" s="1054"/>
      <c r="B30" s="1076"/>
      <c r="C30" s="590" t="s">
        <v>351</v>
      </c>
      <c r="D30" s="781"/>
      <c r="E30" s="592" t="s">
        <v>352</v>
      </c>
      <c r="F30" s="587">
        <v>1.1499999999999999</v>
      </c>
      <c r="G30" s="593"/>
      <c r="H30" s="594"/>
      <c r="I30" s="595"/>
      <c r="J30" s="775">
        <v>100</v>
      </c>
      <c r="K30" s="775">
        <v>500</v>
      </c>
      <c r="L30" s="775">
        <v>1000</v>
      </c>
      <c r="M30" s="775">
        <v>2000</v>
      </c>
      <c r="N30" s="776" t="s">
        <v>356</v>
      </c>
      <c r="O30" s="177" t="s">
        <v>357</v>
      </c>
      <c r="Q30" s="600">
        <f>M31+(C8-M30)/K30*N31</f>
        <v>1648</v>
      </c>
      <c r="R30" s="601" t="s">
        <v>358</v>
      </c>
    </row>
    <row r="31" spans="1:18" ht="21" customHeight="1" x14ac:dyDescent="0.2">
      <c r="A31" s="1055"/>
      <c r="B31" s="1077"/>
      <c r="C31" s="557" t="s">
        <v>354</v>
      </c>
      <c r="D31" s="782"/>
      <c r="E31" s="598" t="s">
        <v>355</v>
      </c>
      <c r="F31" s="575">
        <v>1</v>
      </c>
      <c r="G31" s="576"/>
      <c r="H31" s="599"/>
      <c r="I31" s="595"/>
      <c r="J31" s="596">
        <v>1038</v>
      </c>
      <c r="K31" s="596">
        <v>1351</v>
      </c>
      <c r="L31" s="596">
        <v>1595</v>
      </c>
      <c r="M31" s="596">
        <v>1966</v>
      </c>
      <c r="N31" s="602">
        <v>159</v>
      </c>
      <c r="O31" s="177" t="s">
        <v>361</v>
      </c>
    </row>
    <row r="32" spans="1:18" ht="15" customHeight="1" x14ac:dyDescent="0.2">
      <c r="A32" s="1053">
        <v>11</v>
      </c>
      <c r="B32" s="1056" t="s">
        <v>359</v>
      </c>
      <c r="C32" s="548" t="s">
        <v>360</v>
      </c>
      <c r="D32" s="177">
        <f>IF($C8&lt;=100,$J36,IF(AND($C8&gt;101,$C8&lt;=500),$K36,IF(AND($C8&gt;501,$C8&lt;=1000),$L36,IF(AND($C8&gt;1001,$C8&lt;=2000),$M36,IF($C8&gt;2001,$M36+($C8-$M33)/$K33*$N36,0)))))</f>
        <v>5132</v>
      </c>
      <c r="E32" s="720" t="s">
        <v>314</v>
      </c>
      <c r="F32" s="563">
        <v>1</v>
      </c>
      <c r="G32" s="588" t="str">
        <f>CONCATENATE(D32,"*",F33,"*",F34,"*",F32)</f>
        <v>5132*1,15*1*1</v>
      </c>
      <c r="H32" s="589">
        <f>ROUND(D32*F33*F34*F32,2)</f>
        <v>5901.8</v>
      </c>
      <c r="I32" s="778">
        <f>C8</f>
        <v>1000</v>
      </c>
      <c r="J32" s="1059" t="s">
        <v>362</v>
      </c>
      <c r="K32" s="1060"/>
      <c r="L32" s="1060"/>
      <c r="M32" s="1060"/>
      <c r="N32" s="1061"/>
    </row>
    <row r="33" spans="1:256" ht="21" customHeight="1" x14ac:dyDescent="0.2">
      <c r="A33" s="1054"/>
      <c r="B33" s="1057"/>
      <c r="C33" s="590" t="s">
        <v>351</v>
      </c>
      <c r="D33" s="591"/>
      <c r="E33" s="592" t="s">
        <v>352</v>
      </c>
      <c r="F33" s="587">
        <v>1.1499999999999999</v>
      </c>
      <c r="G33" s="593"/>
      <c r="H33" s="594"/>
      <c r="I33" s="595"/>
      <c r="J33" s="775">
        <v>100</v>
      </c>
      <c r="K33" s="775">
        <v>500</v>
      </c>
      <c r="L33" s="775">
        <v>1000</v>
      </c>
      <c r="M33" s="775">
        <v>2000</v>
      </c>
      <c r="N33" s="776" t="s">
        <v>356</v>
      </c>
    </row>
    <row r="34" spans="1:256" ht="21" customHeight="1" x14ac:dyDescent="0.2">
      <c r="A34" s="1055"/>
      <c r="B34" s="1058"/>
      <c r="C34" s="557" t="s">
        <v>354</v>
      </c>
      <c r="D34" s="558"/>
      <c r="E34" s="598" t="s">
        <v>355</v>
      </c>
      <c r="F34" s="575">
        <v>1</v>
      </c>
      <c r="G34" s="576"/>
      <c r="H34" s="599"/>
      <c r="I34" s="595"/>
      <c r="J34" s="596">
        <v>2613</v>
      </c>
      <c r="K34" s="596">
        <v>3302</v>
      </c>
      <c r="L34" s="596">
        <v>3992</v>
      </c>
      <c r="M34" s="596">
        <v>4863</v>
      </c>
      <c r="N34" s="602">
        <v>370</v>
      </c>
      <c r="O34" s="177" t="s">
        <v>366</v>
      </c>
      <c r="P34" s="177" t="s">
        <v>367</v>
      </c>
    </row>
    <row r="35" spans="1:256" ht="15" customHeight="1" thickBot="1" x14ac:dyDescent="0.25">
      <c r="A35" s="1053">
        <v>12</v>
      </c>
      <c r="B35" s="1056" t="s">
        <v>363</v>
      </c>
      <c r="C35" s="548" t="s">
        <v>364</v>
      </c>
      <c r="D35" s="549">
        <v>256</v>
      </c>
      <c r="E35" s="720" t="s">
        <v>365</v>
      </c>
      <c r="F35" s="734">
        <f>C11*2*C10/10</f>
        <v>0.8</v>
      </c>
      <c r="G35" s="588" t="str">
        <f>CONCATENATE(D35,"*",F36,"*",F37,"*",F35)</f>
        <v>256*1,15*1*0,8</v>
      </c>
      <c r="H35" s="589">
        <f>ROUND(D35*F36*F37*F35,2)</f>
        <v>235.52</v>
      </c>
      <c r="I35" s="1078" t="s">
        <v>438</v>
      </c>
      <c r="J35" s="596">
        <v>2940</v>
      </c>
      <c r="K35" s="596">
        <v>3722</v>
      </c>
      <c r="L35" s="596">
        <v>4502</v>
      </c>
      <c r="M35" s="596">
        <v>5497</v>
      </c>
      <c r="N35" s="602">
        <v>426</v>
      </c>
      <c r="O35" s="177" t="s">
        <v>368</v>
      </c>
      <c r="P35" s="177" t="s">
        <v>369</v>
      </c>
    </row>
    <row r="36" spans="1:256" ht="21" customHeight="1" thickBot="1" x14ac:dyDescent="0.25">
      <c r="A36" s="1054"/>
      <c r="B36" s="1057"/>
      <c r="C36" s="590" t="s">
        <v>351</v>
      </c>
      <c r="D36" s="591"/>
      <c r="E36" s="592" t="s">
        <v>352</v>
      </c>
      <c r="F36" s="587">
        <v>1.1499999999999999</v>
      </c>
      <c r="G36" s="593"/>
      <c r="H36" s="594"/>
      <c r="I36" s="1078"/>
      <c r="J36" s="596">
        <v>3722</v>
      </c>
      <c r="K36" s="596">
        <v>4238</v>
      </c>
      <c r="L36" s="596">
        <v>5132</v>
      </c>
      <c r="M36" s="596">
        <v>6263</v>
      </c>
      <c r="N36" s="602">
        <v>485</v>
      </c>
      <c r="O36" s="177" t="s">
        <v>370</v>
      </c>
      <c r="P36" s="177" t="s">
        <v>371</v>
      </c>
      <c r="Q36" s="600">
        <f>M36+(C8-M33)/K33*N36</f>
        <v>5293</v>
      </c>
      <c r="R36" s="601" t="s">
        <v>358</v>
      </c>
    </row>
    <row r="37" spans="1:256" ht="21" customHeight="1" x14ac:dyDescent="0.2">
      <c r="A37" s="1055"/>
      <c r="B37" s="1058"/>
      <c r="C37" s="557" t="s">
        <v>354</v>
      </c>
      <c r="D37" s="558"/>
      <c r="E37" s="598" t="s">
        <v>355</v>
      </c>
      <c r="F37" s="575">
        <v>1</v>
      </c>
      <c r="G37" s="576"/>
      <c r="H37" s="599"/>
      <c r="I37" s="1078"/>
      <c r="J37" s="596">
        <v>3855</v>
      </c>
      <c r="K37" s="596">
        <v>4880</v>
      </c>
      <c r="L37" s="596">
        <v>5901</v>
      </c>
      <c r="M37" s="596">
        <v>7199</v>
      </c>
      <c r="N37" s="602">
        <v>554</v>
      </c>
      <c r="O37" s="177" t="s">
        <v>374</v>
      </c>
      <c r="P37" s="177" t="s">
        <v>375</v>
      </c>
    </row>
    <row r="38" spans="1:256" ht="15" customHeight="1" x14ac:dyDescent="0.2">
      <c r="A38" s="1053">
        <v>13</v>
      </c>
      <c r="B38" s="1075" t="s">
        <v>372</v>
      </c>
      <c r="C38" s="548" t="s">
        <v>373</v>
      </c>
      <c r="D38" s="549">
        <v>298</v>
      </c>
      <c r="E38" s="603" t="s">
        <v>365</v>
      </c>
      <c r="F38" s="735">
        <f>ROUND(SQRT(C11/C10)*C9*4*C10/10,2)</f>
        <v>1.92</v>
      </c>
      <c r="G38" s="588" t="str">
        <f>CONCATENATE(D38,"*",F39,"*",F40,"*",F38)</f>
        <v>298*1,15*1*1,92</v>
      </c>
      <c r="H38" s="589">
        <f>ROUND(D38*F39*F40*F38,2)</f>
        <v>657.98</v>
      </c>
      <c r="I38" s="1078" t="s">
        <v>438</v>
      </c>
    </row>
    <row r="39" spans="1:256" ht="21" customHeight="1" x14ac:dyDescent="0.2">
      <c r="A39" s="1054"/>
      <c r="B39" s="1076"/>
      <c r="C39" s="590" t="s">
        <v>351</v>
      </c>
      <c r="D39" s="591"/>
      <c r="E39" s="592" t="s">
        <v>352</v>
      </c>
      <c r="F39" s="587">
        <v>1.1499999999999999</v>
      </c>
      <c r="G39" s="593"/>
      <c r="H39" s="594"/>
      <c r="I39" s="1078"/>
    </row>
    <row r="40" spans="1:256" ht="21" customHeight="1" x14ac:dyDescent="0.2">
      <c r="A40" s="1055"/>
      <c r="B40" s="1077"/>
      <c r="C40" s="557" t="s">
        <v>354</v>
      </c>
      <c r="D40" s="558"/>
      <c r="E40" s="598" t="s">
        <v>355</v>
      </c>
      <c r="F40" s="575">
        <v>1</v>
      </c>
      <c r="G40" s="576"/>
      <c r="H40" s="599"/>
      <c r="I40" s="1078"/>
      <c r="U40" s="556"/>
    </row>
    <row r="41" spans="1:256" ht="15" customHeight="1" x14ac:dyDescent="0.2">
      <c r="A41" s="1053">
        <v>14</v>
      </c>
      <c r="B41" s="1056" t="s">
        <v>376</v>
      </c>
      <c r="C41" s="548" t="s">
        <v>377</v>
      </c>
      <c r="D41" s="549">
        <v>298</v>
      </c>
      <c r="E41" s="592" t="s">
        <v>340</v>
      </c>
      <c r="F41" s="587">
        <v>1</v>
      </c>
      <c r="G41" s="588" t="str">
        <f>CONCATENATE(D41,"*",F42,"*",F43,"*",F41)</f>
        <v>298*1,15*1*1</v>
      </c>
      <c r="H41" s="589">
        <f>ROUND(D41*F42*F43*F41,2)</f>
        <v>342.7</v>
      </c>
      <c r="I41" s="736" t="s">
        <v>383</v>
      </c>
      <c r="U41" s="556"/>
    </row>
    <row r="42" spans="1:256" ht="21" customHeight="1" x14ac:dyDescent="0.2">
      <c r="A42" s="1054"/>
      <c r="B42" s="1057"/>
      <c r="C42" s="590" t="s">
        <v>351</v>
      </c>
      <c r="D42" s="591"/>
      <c r="E42" s="592" t="s">
        <v>352</v>
      </c>
      <c r="F42" s="587">
        <v>1.1499999999999999</v>
      </c>
      <c r="G42" s="593"/>
      <c r="H42" s="594"/>
      <c r="I42" s="737"/>
      <c r="U42" s="556"/>
    </row>
    <row r="43" spans="1:256" ht="21" customHeight="1" x14ac:dyDescent="0.2">
      <c r="A43" s="1055"/>
      <c r="B43" s="1058"/>
      <c r="C43" s="557" t="s">
        <v>354</v>
      </c>
      <c r="D43" s="558"/>
      <c r="E43" s="598" t="s">
        <v>355</v>
      </c>
      <c r="F43" s="575">
        <v>1</v>
      </c>
      <c r="G43" s="576"/>
      <c r="H43" s="599"/>
      <c r="I43" s="737"/>
      <c r="U43" s="556"/>
    </row>
    <row r="44" spans="1:256" ht="28.5" customHeight="1" x14ac:dyDescent="0.2">
      <c r="A44" s="1053">
        <v>15</v>
      </c>
      <c r="B44" s="1056" t="s">
        <v>378</v>
      </c>
      <c r="C44" s="548" t="s">
        <v>379</v>
      </c>
      <c r="D44" s="549">
        <v>145</v>
      </c>
      <c r="E44" s="720" t="s">
        <v>380</v>
      </c>
      <c r="F44" s="738">
        <f>C11/100</f>
        <v>0.04</v>
      </c>
      <c r="G44" s="588" t="str">
        <f>CONCATENATE(D44,"*",F45,"*",F46,"*",F44)</f>
        <v>145*1,15*1*0,04</v>
      </c>
      <c r="H44" s="589">
        <f>ROUND(D44*F45*F46*F44,2)</f>
        <v>6.67</v>
      </c>
      <c r="I44" s="1078" t="s">
        <v>438</v>
      </c>
      <c r="U44" s="556"/>
    </row>
    <row r="45" spans="1:256" ht="21" customHeight="1" x14ac:dyDescent="0.2">
      <c r="A45" s="1054"/>
      <c r="B45" s="1057"/>
      <c r="C45" s="590" t="s">
        <v>351</v>
      </c>
      <c r="D45" s="591"/>
      <c r="E45" s="592" t="s">
        <v>352</v>
      </c>
      <c r="F45" s="587">
        <v>1.1499999999999999</v>
      </c>
      <c r="G45" s="593"/>
      <c r="H45" s="594"/>
      <c r="I45" s="1078"/>
      <c r="U45" s="556"/>
    </row>
    <row r="46" spans="1:256" ht="21" customHeight="1" x14ac:dyDescent="0.2">
      <c r="A46" s="1055"/>
      <c r="B46" s="1058"/>
      <c r="C46" s="557" t="s">
        <v>354</v>
      </c>
      <c r="D46" s="558"/>
      <c r="E46" s="598" t="s">
        <v>355</v>
      </c>
      <c r="F46" s="575">
        <v>1</v>
      </c>
      <c r="G46" s="576"/>
      <c r="H46" s="599"/>
      <c r="I46" s="1078"/>
    </row>
    <row r="47" spans="1:256" ht="21" customHeight="1" x14ac:dyDescent="0.2">
      <c r="A47" s="602">
        <v>16</v>
      </c>
      <c r="B47" s="596" t="s">
        <v>381</v>
      </c>
      <c r="C47" s="608" t="s">
        <v>382</v>
      </c>
      <c r="D47" s="569">
        <v>6945</v>
      </c>
      <c r="E47" s="580" t="s">
        <v>335</v>
      </c>
      <c r="F47" s="609">
        <v>1</v>
      </c>
      <c r="G47" s="572" t="str">
        <f>CONCATENATE(D47,"*",F47)</f>
        <v>6945*1</v>
      </c>
      <c r="H47" s="573">
        <f>ROUND(D47*F47,2)</f>
        <v>6945</v>
      </c>
      <c r="I47" s="736" t="s">
        <v>383</v>
      </c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  <c r="BI47" s="178"/>
      <c r="BJ47" s="178"/>
      <c r="BK47" s="178"/>
      <c r="BL47" s="178"/>
      <c r="BM47" s="178"/>
      <c r="BN47" s="178"/>
      <c r="BO47" s="178"/>
      <c r="BP47" s="178"/>
      <c r="BQ47" s="178"/>
      <c r="BR47" s="178"/>
      <c r="BS47" s="178"/>
      <c r="BT47" s="178"/>
      <c r="BU47" s="178"/>
      <c r="BV47" s="178"/>
      <c r="BW47" s="178"/>
      <c r="BX47" s="178"/>
      <c r="BY47" s="178"/>
      <c r="BZ47" s="178"/>
      <c r="CA47" s="178"/>
      <c r="CB47" s="178"/>
      <c r="CC47" s="178"/>
      <c r="CD47" s="178"/>
      <c r="CE47" s="178"/>
      <c r="CF47" s="178"/>
      <c r="CG47" s="178"/>
      <c r="CH47" s="178"/>
      <c r="CI47" s="178"/>
      <c r="CJ47" s="178"/>
      <c r="CK47" s="178"/>
      <c r="CL47" s="178"/>
      <c r="CM47" s="178"/>
      <c r="CN47" s="178"/>
      <c r="CO47" s="178"/>
      <c r="CP47" s="178"/>
      <c r="CQ47" s="178"/>
      <c r="CR47" s="178"/>
      <c r="CS47" s="178"/>
      <c r="CT47" s="178"/>
      <c r="CU47" s="178"/>
      <c r="CV47" s="178"/>
      <c r="CW47" s="178"/>
      <c r="CX47" s="178"/>
      <c r="CY47" s="178"/>
      <c r="CZ47" s="178"/>
      <c r="DA47" s="178"/>
      <c r="DB47" s="178"/>
      <c r="DC47" s="178"/>
      <c r="DD47" s="178"/>
      <c r="DE47" s="178"/>
      <c r="DF47" s="178"/>
      <c r="DG47" s="178"/>
      <c r="DH47" s="178"/>
      <c r="DI47" s="178"/>
      <c r="DJ47" s="178"/>
      <c r="DK47" s="178"/>
      <c r="DL47" s="178"/>
      <c r="DM47" s="178"/>
      <c r="DN47" s="178"/>
      <c r="DO47" s="178"/>
      <c r="DP47" s="178"/>
      <c r="DQ47" s="178"/>
      <c r="DR47" s="178"/>
      <c r="DS47" s="178"/>
      <c r="DT47" s="178"/>
      <c r="DU47" s="178"/>
      <c r="DV47" s="178"/>
      <c r="DW47" s="178"/>
      <c r="DX47" s="178"/>
      <c r="DY47" s="178"/>
      <c r="DZ47" s="178"/>
      <c r="EA47" s="178"/>
      <c r="EB47" s="178"/>
      <c r="EC47" s="178"/>
      <c r="ED47" s="178"/>
      <c r="EE47" s="178"/>
      <c r="EF47" s="178"/>
      <c r="EG47" s="178"/>
      <c r="EH47" s="178"/>
      <c r="EI47" s="178"/>
      <c r="EJ47" s="178"/>
      <c r="EK47" s="178"/>
      <c r="EL47" s="178"/>
      <c r="EM47" s="178"/>
      <c r="EN47" s="178"/>
      <c r="EO47" s="178"/>
      <c r="EP47" s="178"/>
      <c r="EQ47" s="178"/>
      <c r="ER47" s="178"/>
      <c r="ES47" s="178"/>
      <c r="ET47" s="178"/>
      <c r="EU47" s="178"/>
      <c r="EV47" s="178"/>
      <c r="EW47" s="178"/>
      <c r="EX47" s="178"/>
      <c r="EY47" s="178"/>
      <c r="EZ47" s="178"/>
      <c r="FA47" s="178"/>
      <c r="FB47" s="178"/>
      <c r="FC47" s="178"/>
      <c r="FD47" s="178"/>
      <c r="FE47" s="178"/>
      <c r="FF47" s="178"/>
      <c r="FG47" s="178"/>
      <c r="FH47" s="178"/>
      <c r="FI47" s="178"/>
      <c r="FJ47" s="178"/>
      <c r="FK47" s="178"/>
      <c r="FL47" s="178"/>
      <c r="FM47" s="178"/>
      <c r="FN47" s="178"/>
      <c r="FO47" s="178"/>
      <c r="FP47" s="178"/>
      <c r="FQ47" s="178"/>
      <c r="FR47" s="178"/>
      <c r="FS47" s="178"/>
      <c r="FT47" s="178"/>
      <c r="FU47" s="178"/>
      <c r="FV47" s="178"/>
      <c r="FW47" s="178"/>
      <c r="FX47" s="178"/>
      <c r="FY47" s="178"/>
      <c r="FZ47" s="178"/>
      <c r="GA47" s="178"/>
      <c r="GB47" s="178"/>
      <c r="GC47" s="178"/>
      <c r="GD47" s="178"/>
      <c r="GE47" s="178"/>
      <c r="GF47" s="178"/>
      <c r="GG47" s="178"/>
      <c r="GH47" s="178"/>
      <c r="GI47" s="178"/>
      <c r="GJ47" s="178"/>
      <c r="GK47" s="178"/>
      <c r="GL47" s="178"/>
      <c r="GM47" s="178"/>
      <c r="GN47" s="178"/>
      <c r="GO47" s="178"/>
      <c r="GP47" s="178"/>
      <c r="GQ47" s="178"/>
      <c r="GR47" s="178"/>
      <c r="GS47" s="178"/>
      <c r="GT47" s="178"/>
      <c r="GU47" s="178"/>
      <c r="GV47" s="178"/>
      <c r="GW47" s="178"/>
      <c r="GX47" s="178"/>
      <c r="GY47" s="178"/>
      <c r="GZ47" s="178"/>
      <c r="HA47" s="178"/>
      <c r="HB47" s="178"/>
      <c r="HC47" s="178"/>
      <c r="HD47" s="178"/>
      <c r="HE47" s="178"/>
      <c r="HF47" s="178"/>
      <c r="HG47" s="178"/>
      <c r="HH47" s="178"/>
      <c r="HI47" s="178"/>
      <c r="HJ47" s="178"/>
      <c r="HK47" s="178"/>
      <c r="HL47" s="178"/>
      <c r="HM47" s="178"/>
      <c r="HN47" s="178"/>
      <c r="HO47" s="178"/>
      <c r="HP47" s="178"/>
      <c r="HQ47" s="178"/>
      <c r="HR47" s="178"/>
      <c r="HS47" s="178"/>
      <c r="HT47" s="178"/>
      <c r="HU47" s="178"/>
      <c r="HV47" s="178"/>
      <c r="HW47" s="178"/>
      <c r="HX47" s="178"/>
      <c r="HY47" s="178"/>
      <c r="HZ47" s="178"/>
      <c r="IA47" s="178"/>
      <c r="IB47" s="178"/>
      <c r="IC47" s="178"/>
      <c r="ID47" s="178"/>
      <c r="IE47" s="178"/>
      <c r="IF47" s="178"/>
      <c r="IG47" s="178"/>
      <c r="IH47" s="178"/>
      <c r="II47" s="178"/>
      <c r="IJ47" s="178"/>
      <c r="IK47" s="178"/>
      <c r="IL47" s="178"/>
      <c r="IM47" s="178"/>
      <c r="IN47" s="178"/>
      <c r="IO47" s="178"/>
      <c r="IP47" s="178"/>
      <c r="IQ47" s="178"/>
      <c r="IR47" s="178"/>
      <c r="IS47" s="178"/>
      <c r="IT47" s="178"/>
      <c r="IU47" s="178"/>
      <c r="IV47" s="178"/>
    </row>
    <row r="48" spans="1:256" ht="38.25" customHeight="1" x14ac:dyDescent="0.2">
      <c r="A48" s="602">
        <v>17</v>
      </c>
      <c r="B48" s="611" t="s">
        <v>385</v>
      </c>
      <c r="C48" s="608" t="s">
        <v>386</v>
      </c>
      <c r="D48" s="569">
        <v>680</v>
      </c>
      <c r="E48" s="570" t="s">
        <v>387</v>
      </c>
      <c r="F48" s="609">
        <v>1</v>
      </c>
      <c r="G48" s="572" t="str">
        <f>CONCATENATE(D48,"*",F48)</f>
        <v>680*1</v>
      </c>
      <c r="H48" s="573">
        <f>ROUND(D48*F48,2)</f>
        <v>680</v>
      </c>
      <c r="I48" s="736" t="s">
        <v>383</v>
      </c>
    </row>
    <row r="49" spans="1:19" ht="24" customHeight="1" x14ac:dyDescent="0.2">
      <c r="A49" s="602">
        <v>18</v>
      </c>
      <c r="B49" s="611" t="s">
        <v>388</v>
      </c>
      <c r="C49" s="608" t="s">
        <v>389</v>
      </c>
      <c r="D49" s="569">
        <v>258</v>
      </c>
      <c r="E49" s="570" t="s">
        <v>340</v>
      </c>
      <c r="F49" s="780">
        <f>IF(C8&gt;1000,7,2)</f>
        <v>2</v>
      </c>
      <c r="G49" s="572" t="str">
        <f>CONCATENATE(D49,"*",F49)</f>
        <v>258*2</v>
      </c>
      <c r="H49" s="573">
        <f>ROUND(D49*F49,2)</f>
        <v>516</v>
      </c>
      <c r="I49" s="733" t="s">
        <v>436</v>
      </c>
    </row>
    <row r="50" spans="1:19" ht="24" customHeight="1" x14ac:dyDescent="0.2">
      <c r="A50" s="602">
        <v>19</v>
      </c>
      <c r="B50" s="611" t="s">
        <v>390</v>
      </c>
      <c r="C50" s="608" t="s">
        <v>391</v>
      </c>
      <c r="D50" s="569">
        <v>225</v>
      </c>
      <c r="E50" s="570" t="s">
        <v>340</v>
      </c>
      <c r="F50" s="780">
        <f>IF(C8&gt;1000,4,2)</f>
        <v>2</v>
      </c>
      <c r="G50" s="572" t="str">
        <f>CONCATENATE(D50,"*",F50)</f>
        <v>225*2</v>
      </c>
      <c r="H50" s="573">
        <f>ROUND(D50*F50,2)</f>
        <v>450</v>
      </c>
      <c r="I50" s="733" t="s">
        <v>437</v>
      </c>
    </row>
    <row r="51" spans="1:19" ht="24" customHeight="1" x14ac:dyDescent="0.2">
      <c r="A51" s="602">
        <v>20</v>
      </c>
      <c r="B51" s="611" t="s">
        <v>392</v>
      </c>
      <c r="C51" s="608" t="s">
        <v>393</v>
      </c>
      <c r="D51" s="569">
        <v>181</v>
      </c>
      <c r="E51" s="570" t="s">
        <v>340</v>
      </c>
      <c r="F51" s="780">
        <f>IF(C8&gt;1000,7,2)</f>
        <v>2</v>
      </c>
      <c r="G51" s="572" t="str">
        <f>CONCATENATE(D51,"*",F51)</f>
        <v>181*2</v>
      </c>
      <c r="H51" s="573">
        <f>ROUND(D51*F51,2)</f>
        <v>362</v>
      </c>
      <c r="I51" s="739"/>
    </row>
    <row r="52" spans="1:19" ht="18.75" customHeight="1" x14ac:dyDescent="0.2">
      <c r="A52" s="602"/>
      <c r="B52" s="1066" t="s">
        <v>394</v>
      </c>
      <c r="C52" s="1067"/>
      <c r="D52" s="1067"/>
      <c r="E52" s="1067"/>
      <c r="F52" s="1067"/>
      <c r="G52" s="1068"/>
      <c r="H52" s="585">
        <f>SUM(H29:H51)</f>
        <v>17931.920000000002</v>
      </c>
      <c r="I52" s="177"/>
    </row>
    <row r="53" spans="1:19" s="742" customFormat="1" ht="18.75" customHeight="1" x14ac:dyDescent="0.2">
      <c r="A53" s="740"/>
      <c r="B53" s="1079" t="s">
        <v>439</v>
      </c>
      <c r="C53" s="1080"/>
      <c r="D53" s="1080"/>
      <c r="E53" s="1080"/>
      <c r="F53" s="1080"/>
      <c r="G53" s="1081"/>
      <c r="H53" s="741">
        <f>ROUND(H27+H52,2)</f>
        <v>46885.37</v>
      </c>
      <c r="S53" s="177"/>
    </row>
    <row r="54" spans="1:19" ht="65.25" customHeight="1" x14ac:dyDescent="0.2">
      <c r="A54" s="602"/>
      <c r="B54" s="613" t="s">
        <v>395</v>
      </c>
      <c r="C54" s="611" t="s">
        <v>396</v>
      </c>
      <c r="D54" s="614">
        <v>5451</v>
      </c>
      <c r="E54" s="602"/>
      <c r="F54" s="602"/>
      <c r="G54" s="602" t="str">
        <f>CONCATENATE(D54,"*",E8)</f>
        <v>5451*0,1</v>
      </c>
      <c r="H54" s="612">
        <f>ROUND(D54*E8,2)</f>
        <v>545.1</v>
      </c>
      <c r="I54" s="1082" t="s">
        <v>440</v>
      </c>
      <c r="J54" s="556"/>
    </row>
    <row r="55" spans="1:19" ht="14.25" x14ac:dyDescent="0.2">
      <c r="A55" s="602"/>
      <c r="B55" s="615" t="s">
        <v>397</v>
      </c>
      <c r="C55" s="743"/>
      <c r="D55" s="743"/>
      <c r="E55" s="743"/>
      <c r="F55" s="743"/>
      <c r="G55" s="744"/>
      <c r="H55" s="745">
        <f>ROUND(H53+H54,2)</f>
        <v>47430.47</v>
      </c>
      <c r="I55" s="1082"/>
      <c r="J55" s="556"/>
    </row>
    <row r="56" spans="1:19" ht="18.75" customHeight="1" x14ac:dyDescent="0.2">
      <c r="A56" s="722"/>
      <c r="B56" s="746"/>
      <c r="C56" s="746"/>
      <c r="D56" s="746"/>
      <c r="E56" s="746"/>
      <c r="F56" s="746"/>
      <c r="G56" s="746"/>
      <c r="H56" s="747"/>
      <c r="I56" s="1082"/>
      <c r="J56" s="556"/>
    </row>
    <row r="57" spans="1:19" ht="12.75" x14ac:dyDescent="0.2">
      <c r="A57" s="177"/>
      <c r="D57" s="177"/>
      <c r="H57" s="177"/>
      <c r="I57" s="177"/>
    </row>
    <row r="58" spans="1:19" ht="12.75" x14ac:dyDescent="0.2">
      <c r="A58" s="177"/>
      <c r="D58" s="177"/>
      <c r="H58" s="177"/>
      <c r="I58" s="177"/>
    </row>
    <row r="59" spans="1:19" s="708" customFormat="1" ht="15" x14ac:dyDescent="0.2">
      <c r="A59" s="617"/>
      <c r="B59" s="704"/>
      <c r="C59" s="705"/>
      <c r="D59" s="706"/>
      <c r="E59" s="707"/>
    </row>
    <row r="60" spans="1:19" s="708" customFormat="1" ht="15" x14ac:dyDescent="0.2">
      <c r="A60" s="617"/>
      <c r="B60" s="704"/>
      <c r="C60" s="705"/>
      <c r="D60" s="706"/>
      <c r="E60" s="707"/>
    </row>
    <row r="61" spans="1:19" s="708" customFormat="1" ht="15" x14ac:dyDescent="0.2">
      <c r="A61" s="617"/>
      <c r="B61" s="704"/>
      <c r="C61" s="705"/>
      <c r="D61" s="706"/>
      <c r="E61" s="707"/>
    </row>
    <row r="62" spans="1:19" s="616" customFormat="1" ht="15" x14ac:dyDescent="0.2">
      <c r="A62" s="617"/>
      <c r="B62" s="490"/>
      <c r="C62" s="490"/>
      <c r="D62" s="490"/>
      <c r="G62" s="504"/>
    </row>
    <row r="63" spans="1:19" s="618" customFormat="1" ht="15" x14ac:dyDescent="0.2">
      <c r="A63" s="617"/>
      <c r="B63" s="502"/>
      <c r="C63" s="502"/>
      <c r="D63" s="502"/>
      <c r="F63" s="510"/>
      <c r="G63" s="504"/>
    </row>
    <row r="64" spans="1:19" s="618" customFormat="1" ht="15" x14ac:dyDescent="0.2">
      <c r="A64" s="617"/>
      <c r="B64" s="502"/>
      <c r="C64" s="502"/>
      <c r="D64" s="502"/>
      <c r="F64" s="510"/>
      <c r="G64" s="504"/>
    </row>
    <row r="65" spans="1:18" s="617" customFormat="1" ht="15" x14ac:dyDescent="0.2">
      <c r="A65" s="616"/>
      <c r="B65" s="490"/>
      <c r="C65" s="490"/>
      <c r="D65" s="490"/>
      <c r="G65" s="619"/>
    </row>
    <row r="66" spans="1:18" s="617" customFormat="1" ht="15" x14ac:dyDescent="0.2">
      <c r="A66" s="616"/>
      <c r="B66" s="490"/>
      <c r="C66" s="490"/>
      <c r="D66" s="490"/>
      <c r="G66" s="504"/>
    </row>
    <row r="67" spans="1:18" s="617" customFormat="1" ht="15" x14ac:dyDescent="0.2">
      <c r="A67" s="616"/>
      <c r="B67" s="710"/>
      <c r="C67" s="710"/>
      <c r="D67" s="711"/>
      <c r="E67" s="712"/>
    </row>
    <row r="68" spans="1:18" s="617" customFormat="1" ht="15" x14ac:dyDescent="0.2">
      <c r="A68" s="616"/>
      <c r="B68" s="710"/>
      <c r="C68" s="710"/>
      <c r="D68" s="711"/>
      <c r="E68" s="713"/>
    </row>
    <row r="69" spans="1:18" s="617" customFormat="1" ht="15" x14ac:dyDescent="0.2">
      <c r="A69" s="616"/>
      <c r="B69" s="710"/>
      <c r="C69" s="710"/>
      <c r="D69" s="711"/>
      <c r="E69" s="712"/>
    </row>
    <row r="70" spans="1:18" s="445" customFormat="1" ht="15" x14ac:dyDescent="0.2">
      <c r="A70" s="617"/>
      <c r="B70" s="704"/>
      <c r="C70" s="705"/>
      <c r="D70" s="706"/>
      <c r="E70" s="707"/>
    </row>
    <row r="71" spans="1:18" x14ac:dyDescent="0.2">
      <c r="J71" s="518" t="s">
        <v>323</v>
      </c>
      <c r="K71" s="518" t="s">
        <v>291</v>
      </c>
      <c r="L71" s="565">
        <v>5191</v>
      </c>
      <c r="M71" s="518">
        <v>5652</v>
      </c>
      <c r="N71" s="518">
        <v>6572</v>
      </c>
      <c r="O71" s="518">
        <v>7258</v>
      </c>
      <c r="P71" s="518">
        <v>7950</v>
      </c>
      <c r="Q71" s="518">
        <v>9772</v>
      </c>
      <c r="R71" s="518">
        <v>779</v>
      </c>
    </row>
    <row r="72" spans="1:18" x14ac:dyDescent="0.2">
      <c r="J72" s="518" t="s">
        <v>325</v>
      </c>
      <c r="K72" s="518" t="s">
        <v>294</v>
      </c>
      <c r="L72" s="565">
        <v>5781</v>
      </c>
      <c r="M72" s="518">
        <v>6275</v>
      </c>
      <c r="N72" s="518">
        <v>7357</v>
      </c>
      <c r="O72" s="518">
        <v>8054</v>
      </c>
      <c r="P72" s="518">
        <v>8960</v>
      </c>
      <c r="Q72" s="518">
        <v>10958</v>
      </c>
      <c r="R72" s="518">
        <v>868</v>
      </c>
    </row>
    <row r="73" spans="1:18" x14ac:dyDescent="0.2">
      <c r="J73" s="518" t="s">
        <v>327</v>
      </c>
      <c r="K73" s="518" t="s">
        <v>298</v>
      </c>
      <c r="L73" s="565">
        <v>6566</v>
      </c>
      <c r="M73" s="518">
        <v>6967</v>
      </c>
      <c r="N73" s="518">
        <v>8309</v>
      </c>
      <c r="O73" s="518">
        <v>8943</v>
      </c>
      <c r="P73" s="518">
        <v>10063</v>
      </c>
      <c r="Q73" s="518">
        <v>12374</v>
      </c>
      <c r="R73" s="518">
        <v>977</v>
      </c>
    </row>
    <row r="74" spans="1:18" ht="16.5" thickBot="1" x14ac:dyDescent="0.25">
      <c r="J74" s="583" t="s">
        <v>345</v>
      </c>
      <c r="R74" s="584" t="s">
        <v>441</v>
      </c>
    </row>
    <row r="75" spans="1:18" ht="16.5" thickBot="1" x14ac:dyDescent="0.25">
      <c r="J75" s="586">
        <f>N71</f>
        <v>6572</v>
      </c>
      <c r="R75" s="586">
        <f>J75+(C8-2000)/500*R71</f>
        <v>5014</v>
      </c>
    </row>
    <row r="94" spans="15:20" x14ac:dyDescent="0.2">
      <c r="O94" s="604"/>
      <c r="P94" s="1083"/>
      <c r="Q94" s="1083"/>
      <c r="R94" s="1083"/>
      <c r="S94" s="1083"/>
      <c r="T94" s="1083"/>
    </row>
    <row r="95" spans="15:20" x14ac:dyDescent="0.2">
      <c r="O95" s="605"/>
      <c r="P95" s="556"/>
      <c r="Q95" s="556"/>
      <c r="R95" s="556"/>
      <c r="S95" s="556"/>
      <c r="T95" s="606"/>
    </row>
    <row r="96" spans="15:20" x14ac:dyDescent="0.2">
      <c r="O96" s="607"/>
      <c r="P96" s="556"/>
      <c r="Q96" s="556"/>
      <c r="R96" s="556"/>
      <c r="S96" s="556"/>
      <c r="T96" s="722"/>
    </row>
    <row r="97" spans="10:20" x14ac:dyDescent="0.2">
      <c r="O97" s="605"/>
      <c r="P97" s="556"/>
      <c r="Q97" s="556"/>
      <c r="R97" s="556"/>
      <c r="S97" s="556"/>
      <c r="T97" s="722"/>
    </row>
    <row r="98" spans="10:20" x14ac:dyDescent="0.2">
      <c r="O98" s="605"/>
      <c r="P98" s="556"/>
      <c r="Q98" s="556"/>
      <c r="R98" s="556"/>
      <c r="S98" s="556"/>
      <c r="T98" s="722"/>
    </row>
    <row r="99" spans="10:20" x14ac:dyDescent="0.2">
      <c r="O99" s="605"/>
      <c r="P99" s="556"/>
      <c r="Q99" s="556"/>
      <c r="R99" s="556"/>
      <c r="S99" s="556"/>
      <c r="T99" s="722"/>
    </row>
    <row r="101" spans="10:20" x14ac:dyDescent="0.2">
      <c r="J101" s="542" t="s">
        <v>384</v>
      </c>
      <c r="K101" s="178"/>
      <c r="L101" s="178"/>
      <c r="M101" s="178"/>
      <c r="N101" s="178"/>
      <c r="O101" s="178"/>
      <c r="P101" s="178"/>
      <c r="Q101" s="610"/>
      <c r="R101" s="178"/>
      <c r="S101" s="178"/>
      <c r="T101" s="178"/>
    </row>
    <row r="103" spans="10:20" x14ac:dyDescent="0.2">
      <c r="J103" s="556"/>
      <c r="K103" s="556"/>
      <c r="L103" s="556"/>
      <c r="M103" s="556"/>
      <c r="N103" s="556"/>
      <c r="O103" s="556"/>
      <c r="P103" s="556"/>
    </row>
    <row r="104" spans="10:20" x14ac:dyDescent="0.2">
      <c r="J104" s="723"/>
      <c r="K104" s="723"/>
      <c r="L104" s="1084"/>
      <c r="M104" s="1084"/>
      <c r="N104" s="1084"/>
      <c r="O104" s="1084"/>
      <c r="P104" s="1084"/>
    </row>
    <row r="105" spans="10:20" x14ac:dyDescent="0.2">
      <c r="J105" s="723"/>
      <c r="K105" s="723"/>
      <c r="L105" s="1084"/>
      <c r="M105" s="1084"/>
      <c r="N105" s="1084"/>
      <c r="O105" s="1084"/>
      <c r="P105" s="1084"/>
    </row>
    <row r="106" spans="10:20" x14ac:dyDescent="0.2">
      <c r="J106" s="723"/>
      <c r="K106" s="723"/>
      <c r="L106" s="723"/>
      <c r="M106" s="723"/>
      <c r="N106" s="723"/>
      <c r="O106" s="723"/>
      <c r="P106" s="723"/>
    </row>
    <row r="107" spans="10:20" ht="16.5" thickBot="1" x14ac:dyDescent="0.25">
      <c r="J107" s="723"/>
      <c r="K107" s="723"/>
      <c r="L107" s="723"/>
      <c r="M107" s="723"/>
      <c r="N107" s="723"/>
      <c r="O107" s="723"/>
      <c r="P107" s="723"/>
    </row>
    <row r="108" spans="10:20" ht="16.5" thickBot="1" x14ac:dyDescent="0.25">
      <c r="J108" s="723"/>
      <c r="K108" s="600">
        <f>M36+(C8-M33)/K33*N36</f>
        <v>5293</v>
      </c>
      <c r="L108" s="601" t="s">
        <v>358</v>
      </c>
      <c r="M108" s="723"/>
      <c r="N108" s="723"/>
      <c r="O108" s="723"/>
      <c r="P108" s="723"/>
    </row>
    <row r="109" spans="10:20" x14ac:dyDescent="0.2">
      <c r="J109" s="723"/>
      <c r="K109" s="723"/>
      <c r="L109" s="723"/>
      <c r="M109" s="723"/>
      <c r="N109" s="723"/>
      <c r="O109" s="723"/>
      <c r="P109" s="723"/>
    </row>
    <row r="110" spans="10:20" x14ac:dyDescent="0.2">
      <c r="J110" s="723"/>
      <c r="K110" s="723"/>
      <c r="L110" s="723"/>
      <c r="M110" s="723"/>
      <c r="N110" s="723"/>
      <c r="O110" s="723"/>
      <c r="P110" s="723"/>
    </row>
    <row r="111" spans="10:20" x14ac:dyDescent="0.2">
      <c r="J111" s="723"/>
      <c r="K111" s="723"/>
      <c r="L111" s="723"/>
      <c r="M111" s="723"/>
      <c r="N111" s="723"/>
      <c r="O111" s="723"/>
      <c r="P111" s="723"/>
    </row>
    <row r="112" spans="10:20" x14ac:dyDescent="0.2">
      <c r="J112" s="723"/>
      <c r="K112" s="723"/>
      <c r="L112" s="723"/>
      <c r="M112" s="723"/>
      <c r="N112" s="723"/>
      <c r="O112" s="723"/>
      <c r="P112" s="723"/>
    </row>
    <row r="113" spans="10:20" x14ac:dyDescent="0.2">
      <c r="J113" s="723"/>
      <c r="K113" s="723"/>
      <c r="L113" s="723"/>
      <c r="M113" s="723"/>
      <c r="N113" s="723"/>
      <c r="O113" s="723"/>
      <c r="P113" s="723"/>
    </row>
    <row r="114" spans="10:20" x14ac:dyDescent="0.2">
      <c r="J114" s="542" t="s">
        <v>308</v>
      </c>
      <c r="K114" s="542" t="s">
        <v>309</v>
      </c>
      <c r="L114" s="542"/>
      <c r="M114" s="542"/>
      <c r="N114" s="542"/>
      <c r="O114" s="542"/>
      <c r="P114" s="723"/>
    </row>
    <row r="115" spans="10:20" x14ac:dyDescent="0.2">
      <c r="J115" s="544"/>
      <c r="K115" s="544"/>
      <c r="L115" s="545" t="s">
        <v>311</v>
      </c>
      <c r="M115" s="546"/>
      <c r="N115" s="546"/>
      <c r="O115" s="547"/>
      <c r="P115" s="556"/>
    </row>
    <row r="116" spans="10:20" ht="25.5" x14ac:dyDescent="0.2">
      <c r="J116" s="518" t="s">
        <v>315</v>
      </c>
      <c r="K116" s="553" t="s">
        <v>286</v>
      </c>
      <c r="L116" s="554">
        <v>1</v>
      </c>
      <c r="M116" s="554">
        <v>5</v>
      </c>
      <c r="N116" s="554">
        <v>10</v>
      </c>
      <c r="O116" s="555" t="s">
        <v>316</v>
      </c>
    </row>
    <row r="117" spans="10:20" x14ac:dyDescent="0.2">
      <c r="J117" s="518"/>
      <c r="K117" s="518"/>
      <c r="L117" s="562" t="s">
        <v>6</v>
      </c>
      <c r="M117" s="562" t="s">
        <v>319</v>
      </c>
      <c r="N117" s="562" t="s">
        <v>320</v>
      </c>
      <c r="O117" s="562" t="s">
        <v>321</v>
      </c>
    </row>
    <row r="118" spans="10:20" x14ac:dyDescent="0.2">
      <c r="J118" s="518" t="s">
        <v>322</v>
      </c>
      <c r="K118" s="518" t="s">
        <v>288</v>
      </c>
      <c r="L118" s="518">
        <v>4318</v>
      </c>
      <c r="M118" s="518">
        <v>4928</v>
      </c>
      <c r="N118" s="518">
        <v>5710</v>
      </c>
      <c r="O118" s="518">
        <v>664</v>
      </c>
    </row>
    <row r="119" spans="10:20" x14ac:dyDescent="0.2">
      <c r="J119" s="518" t="s">
        <v>323</v>
      </c>
      <c r="K119" s="518" t="s">
        <v>291</v>
      </c>
      <c r="L119" s="565">
        <v>5021</v>
      </c>
      <c r="M119" s="518">
        <v>5998</v>
      </c>
      <c r="N119" s="518">
        <v>6643</v>
      </c>
      <c r="O119" s="518">
        <v>785</v>
      </c>
      <c r="P119" s="616"/>
      <c r="Q119" s="616"/>
      <c r="R119" s="616"/>
      <c r="S119" s="616"/>
      <c r="T119" s="616"/>
    </row>
    <row r="120" spans="10:20" x14ac:dyDescent="0.2">
      <c r="J120" s="518" t="s">
        <v>325</v>
      </c>
      <c r="K120" s="518" t="s">
        <v>294</v>
      </c>
      <c r="L120" s="565">
        <v>6051</v>
      </c>
      <c r="M120" s="518">
        <v>6897</v>
      </c>
      <c r="N120" s="518">
        <v>7999</v>
      </c>
      <c r="O120" s="518">
        <v>936</v>
      </c>
      <c r="P120" s="618"/>
      <c r="Q120" s="618"/>
      <c r="R120" s="618"/>
      <c r="S120" s="618"/>
      <c r="T120" s="618"/>
    </row>
    <row r="121" spans="10:20" ht="16.5" thickBot="1" x14ac:dyDescent="0.25">
      <c r="J121" s="518" t="s">
        <v>327</v>
      </c>
      <c r="K121" s="518" t="s">
        <v>298</v>
      </c>
      <c r="L121" s="565">
        <v>7318</v>
      </c>
      <c r="M121" s="518">
        <v>8394</v>
      </c>
      <c r="N121" s="518">
        <v>9680</v>
      </c>
      <c r="O121" s="518">
        <v>1145</v>
      </c>
      <c r="P121" s="618"/>
      <c r="Q121" s="618"/>
      <c r="R121" s="618"/>
      <c r="S121" s="618"/>
      <c r="T121" s="618"/>
    </row>
    <row r="122" spans="10:20" ht="16.5" thickBot="1" x14ac:dyDescent="0.25">
      <c r="J122" s="566">
        <f>L119</f>
        <v>5021</v>
      </c>
      <c r="P122" s="617"/>
      <c r="Q122" s="617"/>
      <c r="R122" s="617"/>
      <c r="S122" s="617"/>
      <c r="T122" s="617"/>
    </row>
  </sheetData>
  <mergeCells count="36">
    <mergeCell ref="B53:G53"/>
    <mergeCell ref="I54:I56"/>
    <mergeCell ref="P94:T94"/>
    <mergeCell ref="L104:P105"/>
    <mergeCell ref="A41:A43"/>
    <mergeCell ref="B41:B43"/>
    <mergeCell ref="A44:A46"/>
    <mergeCell ref="B44:B46"/>
    <mergeCell ref="I44:I46"/>
    <mergeCell ref="B52:G52"/>
    <mergeCell ref="A35:A37"/>
    <mergeCell ref="B35:B37"/>
    <mergeCell ref="I35:I37"/>
    <mergeCell ref="A38:A40"/>
    <mergeCell ref="B38:B40"/>
    <mergeCell ref="I38:I40"/>
    <mergeCell ref="A32:A34"/>
    <mergeCell ref="B32:B34"/>
    <mergeCell ref="J32:N32"/>
    <mergeCell ref="A15:A16"/>
    <mergeCell ref="B15:B16"/>
    <mergeCell ref="A17:A18"/>
    <mergeCell ref="B17:B18"/>
    <mergeCell ref="A20:A21"/>
    <mergeCell ref="B20:B21"/>
    <mergeCell ref="B27:G27"/>
    <mergeCell ref="B28:G28"/>
    <mergeCell ref="J28:N28"/>
    <mergeCell ref="A29:A31"/>
    <mergeCell ref="B29:B31"/>
    <mergeCell ref="B14:G14"/>
    <mergeCell ref="A2:H2"/>
    <mergeCell ref="A4:H5"/>
    <mergeCell ref="A6:H6"/>
    <mergeCell ref="J8:L8"/>
    <mergeCell ref="A12:H12"/>
  </mergeCells>
  <pageMargins left="0.7" right="0.7" top="0.75" bottom="0.75" header="0.3" footer="0.3"/>
  <pageSetup paperSize="9" scale="76" orientation="portrait" r:id="rId1"/>
  <rowBreaks count="1" manualBreakCount="1">
    <brk id="43" max="7" man="1"/>
  </rowBreaks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view="pageBreakPreview" topLeftCell="A62" zoomScale="70" zoomScaleNormal="100" zoomScaleSheetLayoutView="70" workbookViewId="0">
      <selection activeCell="B66" sqref="B66:H77"/>
    </sheetView>
  </sheetViews>
  <sheetFormatPr defaultColWidth="9.140625" defaultRowHeight="12.75" x14ac:dyDescent="0.2"/>
  <cols>
    <col min="1" max="1" width="9.28515625" style="61" bestFit="1" customWidth="1"/>
    <col min="2" max="2" width="34" style="61" customWidth="1"/>
    <col min="3" max="4" width="12.140625" style="61" customWidth="1"/>
    <col min="5" max="5" width="24.5703125" style="61" customWidth="1"/>
    <col min="6" max="6" width="9.28515625" style="61" bestFit="1" customWidth="1"/>
    <col min="7" max="7" width="18.85546875" style="61" customWidth="1"/>
    <col min="8" max="8" width="12.85546875" style="61" customWidth="1"/>
    <col min="9" max="10" width="16.5703125" style="61" customWidth="1"/>
    <col min="11" max="11" width="15.85546875" style="61" customWidth="1"/>
    <col min="12" max="12" width="9.7109375" style="61" bestFit="1" customWidth="1"/>
    <col min="13" max="13" width="6.28515625" style="61" bestFit="1" customWidth="1"/>
    <col min="14" max="14" width="8" style="61" bestFit="1" customWidth="1"/>
    <col min="15" max="17" width="9.140625" style="61"/>
    <col min="18" max="19" width="9.28515625" style="61" bestFit="1" customWidth="1"/>
    <col min="20" max="20" width="9.140625" style="61"/>
    <col min="21" max="21" width="9.28515625" style="61" bestFit="1" customWidth="1"/>
    <col min="22" max="16384" width="9.140625" style="61"/>
  </cols>
  <sheetData>
    <row r="1" spans="1:21" x14ac:dyDescent="0.2">
      <c r="A1" s="257"/>
      <c r="B1" s="257"/>
      <c r="C1" s="257"/>
      <c r="D1" s="257"/>
      <c r="E1" s="257"/>
      <c r="F1" s="1088" t="s">
        <v>67</v>
      </c>
      <c r="G1" s="1088"/>
      <c r="H1" s="1088"/>
      <c r="I1" s="350"/>
      <c r="J1" s="350"/>
    </row>
    <row r="2" spans="1:21" x14ac:dyDescent="0.2">
      <c r="A2" s="55"/>
      <c r="B2" s="55"/>
      <c r="C2" s="55"/>
      <c r="D2" s="258"/>
      <c r="E2" s="55"/>
      <c r="F2" s="1088" t="s">
        <v>96</v>
      </c>
      <c r="G2" s="1088"/>
      <c r="H2" s="1088"/>
      <c r="I2" s="350"/>
      <c r="J2" s="350"/>
    </row>
    <row r="3" spans="1:21" x14ac:dyDescent="0.2">
      <c r="A3" s="55"/>
      <c r="B3" s="55"/>
      <c r="C3" s="55"/>
      <c r="D3" s="258"/>
      <c r="E3" s="55"/>
      <c r="F3" s="350" t="s">
        <v>97</v>
      </c>
      <c r="G3" s="259"/>
      <c r="H3" s="260"/>
      <c r="I3" s="260"/>
      <c r="J3" s="260"/>
    </row>
    <row r="4" spans="1:21" x14ac:dyDescent="0.2">
      <c r="A4" s="55"/>
      <c r="B4" s="55"/>
      <c r="C4" s="55"/>
      <c r="D4" s="258"/>
      <c r="E4" s="55"/>
      <c r="F4" s="350"/>
      <c r="G4" s="259"/>
      <c r="H4" s="260"/>
      <c r="I4" s="260"/>
      <c r="J4" s="260"/>
    </row>
    <row r="5" spans="1:21" ht="14.25" x14ac:dyDescent="0.2">
      <c r="A5" s="1089" t="s">
        <v>166</v>
      </c>
      <c r="B5" s="1089"/>
      <c r="C5" s="1089"/>
      <c r="D5" s="1089"/>
      <c r="E5" s="1089"/>
      <c r="F5" s="1089"/>
      <c r="G5" s="1089"/>
      <c r="H5" s="1089"/>
      <c r="I5" s="351"/>
      <c r="J5" s="351"/>
    </row>
    <row r="6" spans="1:21" ht="14.25" x14ac:dyDescent="0.2">
      <c r="A6" s="351"/>
      <c r="B6" s="351"/>
      <c r="C6" s="351"/>
      <c r="D6" s="351"/>
      <c r="E6" s="351"/>
      <c r="F6" s="351"/>
      <c r="G6" s="351"/>
      <c r="H6" s="351"/>
      <c r="I6" s="351"/>
      <c r="J6" s="351"/>
    </row>
    <row r="7" spans="1:21" ht="14.25" customHeight="1" x14ac:dyDescent="0.2">
      <c r="A7" s="1090" t="s">
        <v>98</v>
      </c>
      <c r="B7" s="1090"/>
      <c r="C7" s="1090"/>
      <c r="D7" s="1090"/>
      <c r="E7" s="1090"/>
      <c r="F7" s="1090"/>
      <c r="G7" s="1090"/>
      <c r="H7" s="1090"/>
      <c r="I7" s="352"/>
      <c r="J7" s="352"/>
    </row>
    <row r="8" spans="1:21" ht="25.5" x14ac:dyDescent="0.2">
      <c r="A8" s="261"/>
      <c r="B8" s="261"/>
      <c r="C8" s="261"/>
      <c r="D8" s="261"/>
      <c r="E8" s="261"/>
      <c r="F8" s="261"/>
      <c r="G8" s="261"/>
      <c r="H8" s="261"/>
      <c r="I8" s="261"/>
      <c r="J8" s="261"/>
      <c r="K8" s="481" t="s">
        <v>265</v>
      </c>
      <c r="L8" s="481" t="s">
        <v>266</v>
      </c>
    </row>
    <row r="9" spans="1:21" ht="79.5" customHeight="1" x14ac:dyDescent="0.2">
      <c r="A9" s="1091" t="str">
        <f>'С С Р'!A6:G6</f>
        <v>Выполнение изыскательских работ, разработка проектной документации, рабочей документации и на их основе составление сметы на строительство тепловой сети для осуществления подключения объекта капитального строительства «Школа на 800 мест», расположенного по адресам: г. Москва, ш. Дмитровское, вл.107; г. Москва, ш. Дмитровское, вл.107, стр.11А</v>
      </c>
      <c r="B9" s="1091"/>
      <c r="C9" s="1091"/>
      <c r="D9" s="1091"/>
      <c r="E9" s="1091"/>
      <c r="F9" s="1091"/>
      <c r="G9" s="1091"/>
      <c r="H9" s="1091"/>
      <c r="I9" s="366"/>
      <c r="J9" s="366"/>
      <c r="K9" s="481" t="s">
        <v>265</v>
      </c>
      <c r="L9" s="481" t="s">
        <v>267</v>
      </c>
      <c r="M9" s="367"/>
      <c r="N9" s="367"/>
      <c r="O9" s="367"/>
      <c r="Q9" s="61" t="s">
        <v>458</v>
      </c>
      <c r="T9" s="61" t="s">
        <v>459</v>
      </c>
    </row>
    <row r="10" spans="1:21" ht="13.5" thickBot="1" x14ac:dyDescent="0.25">
      <c r="A10" s="259"/>
      <c r="B10" s="54"/>
      <c r="C10" s="54"/>
      <c r="D10" s="262"/>
      <c r="E10" s="54"/>
      <c r="F10" s="263"/>
      <c r="G10" s="54"/>
      <c r="H10" s="262"/>
      <c r="I10" s="368"/>
      <c r="J10" s="368"/>
      <c r="K10" s="367"/>
      <c r="L10" s="367"/>
      <c r="M10" s="367"/>
      <c r="N10" s="367"/>
      <c r="O10" s="367"/>
    </row>
    <row r="11" spans="1:21" ht="39.75" customHeight="1" thickBot="1" x14ac:dyDescent="0.25">
      <c r="A11" s="1085" t="s">
        <v>261</v>
      </c>
      <c r="B11" s="1086"/>
      <c r="C11" s="1086"/>
      <c r="D11" s="1086"/>
      <c r="E11" s="1086"/>
      <c r="F11" s="1086"/>
      <c r="G11" s="1086"/>
      <c r="H11" s="1087"/>
      <c r="I11" s="381"/>
      <c r="J11" s="381"/>
      <c r="K11" s="367"/>
      <c r="L11" s="367"/>
      <c r="M11" s="367"/>
      <c r="N11" s="367"/>
      <c r="O11" s="367"/>
      <c r="Q11" s="485" t="s">
        <v>457</v>
      </c>
      <c r="R11" s="792" t="s">
        <v>456</v>
      </c>
      <c r="T11" s="485" t="s">
        <v>451</v>
      </c>
      <c r="U11" s="792" t="s">
        <v>453</v>
      </c>
    </row>
    <row r="12" spans="1:21" ht="39" thickBot="1" x14ac:dyDescent="0.25">
      <c r="A12" s="159" t="s">
        <v>49</v>
      </c>
      <c r="B12" s="1092" t="s">
        <v>50</v>
      </c>
      <c r="C12" s="1093"/>
      <c r="D12" s="160" t="s">
        <v>51</v>
      </c>
      <c r="E12" s="160" t="s">
        <v>255</v>
      </c>
      <c r="F12" s="161" t="s">
        <v>52</v>
      </c>
      <c r="G12" s="160" t="s">
        <v>0</v>
      </c>
      <c r="H12" s="162" t="s">
        <v>53</v>
      </c>
      <c r="I12" s="369"/>
      <c r="J12" s="369"/>
      <c r="K12" s="342"/>
      <c r="L12" s="342"/>
      <c r="M12" s="342" t="s">
        <v>249</v>
      </c>
      <c r="N12" s="342" t="s">
        <v>249</v>
      </c>
      <c r="O12" s="367"/>
      <c r="Q12" s="168" t="s">
        <v>454</v>
      </c>
      <c r="T12" s="168" t="s">
        <v>452</v>
      </c>
    </row>
    <row r="13" spans="1:21" ht="26.25" thickBot="1" x14ac:dyDescent="0.25">
      <c r="A13" s="264">
        <v>1</v>
      </c>
      <c r="B13" s="265">
        <v>2</v>
      </c>
      <c r="C13" s="265">
        <v>3</v>
      </c>
      <c r="D13" s="266">
        <v>4</v>
      </c>
      <c r="E13" s="265">
        <v>5</v>
      </c>
      <c r="F13" s="266">
        <v>6</v>
      </c>
      <c r="G13" s="265">
        <v>7</v>
      </c>
      <c r="H13" s="267">
        <v>8</v>
      </c>
      <c r="I13" s="367"/>
      <c r="J13" s="367"/>
      <c r="K13" s="269" t="s">
        <v>110</v>
      </c>
      <c r="L13" s="269" t="s">
        <v>111</v>
      </c>
      <c r="M13" s="343" t="s">
        <v>110</v>
      </c>
      <c r="N13" s="269" t="s">
        <v>111</v>
      </c>
      <c r="O13" s="367"/>
      <c r="Q13" s="168" t="s">
        <v>455</v>
      </c>
      <c r="T13" s="168" t="s">
        <v>480</v>
      </c>
    </row>
    <row r="14" spans="1:21" ht="38.25" x14ac:dyDescent="0.2">
      <c r="A14" s="483">
        <v>1</v>
      </c>
      <c r="B14" s="484" t="s">
        <v>280</v>
      </c>
      <c r="C14" s="795" t="str">
        <f>IF(D14=723,"жилое",IF(D14=482,"жилое","общественное"))</f>
        <v>общественное</v>
      </c>
      <c r="D14" s="783">
        <v>820</v>
      </c>
      <c r="E14" s="485" t="str">
        <f>IF(C14="жилое",Q11,T11)</f>
        <v xml:space="preserve"> 3.1.2 таблица 3 п.6</v>
      </c>
      <c r="F14" s="486">
        <v>1</v>
      </c>
      <c r="G14" s="486">
        <f>IF(D14=723,Q14,D14*1)</f>
        <v>820</v>
      </c>
      <c r="H14" s="793">
        <f>IF(D14=723,R14,D14*1)</f>
        <v>820</v>
      </c>
      <c r="K14" s="164">
        <v>820</v>
      </c>
      <c r="L14" s="164">
        <v>482</v>
      </c>
      <c r="M14" s="342">
        <v>1229</v>
      </c>
      <c r="N14" s="342">
        <v>723</v>
      </c>
      <c r="O14" s="367"/>
      <c r="Q14" s="486" t="str">
        <f>CONCATENATE(723,"*",1)</f>
        <v>723*1</v>
      </c>
      <c r="R14" s="784">
        <f>ROUND(723*1,2)</f>
        <v>723</v>
      </c>
      <c r="T14" s="486" t="str">
        <f>CONCATENATE(1229,"*",1)</f>
        <v>1229*1</v>
      </c>
      <c r="U14" s="784">
        <f>ROUND(1229*1,2)</f>
        <v>1229</v>
      </c>
    </row>
    <row r="15" spans="1:21" ht="25.5" x14ac:dyDescent="0.2">
      <c r="A15" s="79">
        <v>2</v>
      </c>
      <c r="B15" s="173" t="s">
        <v>281</v>
      </c>
      <c r="C15" s="170" t="str">
        <f>IF(D14=723,"жилое",IF(D14=482,"жилое","общественное"))</f>
        <v>общественное</v>
      </c>
      <c r="D15" s="174">
        <v>1326</v>
      </c>
      <c r="E15" s="792" t="str">
        <f>IF(C15="жилое",Q12,T12)</f>
        <v>3.1.2 таблица 3 п. 10</v>
      </c>
      <c r="F15" s="175">
        <v>1</v>
      </c>
      <c r="G15" s="791">
        <f>IF(D15=1013,Q15,D15*1)</f>
        <v>1326</v>
      </c>
      <c r="H15" s="794">
        <f>IF(D15=1013,R15,D15*1)</f>
        <v>1326</v>
      </c>
      <c r="K15" s="164">
        <v>1326</v>
      </c>
      <c r="L15" s="164">
        <v>780</v>
      </c>
      <c r="M15" s="342">
        <v>1724</v>
      </c>
      <c r="N15" s="342">
        <v>1013</v>
      </c>
      <c r="O15" s="367"/>
      <c r="Q15" s="175" t="str">
        <f>CONCATENATE(1013,"*",1)</f>
        <v>1013*1</v>
      </c>
      <c r="R15" s="163">
        <f>ROUND(1013*1,2)</f>
        <v>1013</v>
      </c>
      <c r="T15" s="175" t="str">
        <f>CONCATENATE(1724,"*",1)</f>
        <v>1724*1</v>
      </c>
      <c r="U15" s="163">
        <f>ROUND(1724*1,2)</f>
        <v>1724</v>
      </c>
    </row>
    <row r="16" spans="1:21" ht="18" customHeight="1" x14ac:dyDescent="0.2">
      <c r="A16" s="79"/>
      <c r="B16" s="440" t="s">
        <v>99</v>
      </c>
      <c r="C16" s="168"/>
      <c r="D16" s="785"/>
      <c r="E16" s="168"/>
      <c r="F16" s="270"/>
      <c r="G16" s="271"/>
      <c r="H16" s="78">
        <f>SUM(H14:H15)</f>
        <v>2146</v>
      </c>
      <c r="I16" s="268"/>
      <c r="J16" s="268"/>
      <c r="K16" s="164"/>
      <c r="L16" s="164"/>
      <c r="M16" s="342"/>
      <c r="N16" s="342"/>
      <c r="O16" s="367"/>
    </row>
    <row r="17" spans="1:15" ht="25.5" x14ac:dyDescent="0.2">
      <c r="A17" s="79">
        <v>3</v>
      </c>
      <c r="B17" s="173" t="s">
        <v>54</v>
      </c>
      <c r="C17" s="170" t="str">
        <f>IF(D14=723,"жилое",IF(D14=482,"жилое","общественное"))</f>
        <v>общественное</v>
      </c>
      <c r="D17" s="174">
        <v>484</v>
      </c>
      <c r="E17" s="792" t="str">
        <f>IF(C17="жилое",Q13,T13)</f>
        <v xml:space="preserve">3.2.2 таблица 6 </v>
      </c>
      <c r="F17" s="175">
        <v>1</v>
      </c>
      <c r="G17" s="175" t="str">
        <f>CONCATENATE(D17,"*",F17)</f>
        <v>484*1</v>
      </c>
      <c r="H17" s="163">
        <f>ROUND(D17*F17,2)</f>
        <v>484</v>
      </c>
      <c r="I17" s="268"/>
      <c r="J17" s="268"/>
      <c r="K17" s="164">
        <v>484</v>
      </c>
      <c r="L17" s="164">
        <v>484</v>
      </c>
      <c r="M17" s="342">
        <v>1211</v>
      </c>
      <c r="N17" s="342">
        <v>968</v>
      </c>
      <c r="O17" s="367"/>
    </row>
    <row r="18" spans="1:15" ht="51" x14ac:dyDescent="0.2">
      <c r="A18" s="79">
        <v>4</v>
      </c>
      <c r="B18" s="165" t="s">
        <v>55</v>
      </c>
      <c r="C18" s="166"/>
      <c r="D18" s="167">
        <v>1214</v>
      </c>
      <c r="E18" s="168" t="s">
        <v>176</v>
      </c>
      <c r="F18" s="167">
        <v>1</v>
      </c>
      <c r="G18" s="175" t="str">
        <f>CONCATENATE(D18,"*",F18)</f>
        <v>1214*1</v>
      </c>
      <c r="H18" s="163">
        <f>ROUND(D18*F18,2)</f>
        <v>1214</v>
      </c>
      <c r="I18" s="272"/>
      <c r="J18" s="272"/>
      <c r="K18" s="343"/>
      <c r="L18" s="343"/>
      <c r="M18" s="342"/>
      <c r="N18" s="342"/>
      <c r="O18" s="367"/>
    </row>
    <row r="19" spans="1:15" ht="25.5" x14ac:dyDescent="0.2">
      <c r="A19" s="79">
        <v>5</v>
      </c>
      <c r="B19" s="165" t="s">
        <v>56</v>
      </c>
      <c r="C19" s="166"/>
      <c r="D19" s="167">
        <v>318</v>
      </c>
      <c r="E19" s="168" t="s">
        <v>177</v>
      </c>
      <c r="F19" s="167">
        <v>1</v>
      </c>
      <c r="G19" s="175" t="str">
        <f>CONCATENATE(D19,"*",F19)</f>
        <v>318*1</v>
      </c>
      <c r="H19" s="163">
        <f>ROUND(D19*F19,2)</f>
        <v>318</v>
      </c>
      <c r="I19" s="272"/>
      <c r="J19" s="272"/>
      <c r="K19" s="343"/>
      <c r="L19" s="343"/>
      <c r="M19" s="342"/>
      <c r="N19" s="342"/>
      <c r="O19" s="367"/>
    </row>
    <row r="20" spans="1:15" ht="25.5" x14ac:dyDescent="0.2">
      <c r="A20" s="79">
        <v>6</v>
      </c>
      <c r="B20" s="165" t="s">
        <v>57</v>
      </c>
      <c r="C20" s="166"/>
      <c r="D20" s="167">
        <v>318</v>
      </c>
      <c r="E20" s="168" t="s">
        <v>178</v>
      </c>
      <c r="F20" s="167">
        <v>1</v>
      </c>
      <c r="G20" s="175" t="str">
        <f>CONCATENATE(D20,"*",F20)</f>
        <v>318*1</v>
      </c>
      <c r="H20" s="163">
        <f>ROUND(D20*F20,2)</f>
        <v>318</v>
      </c>
      <c r="I20" s="272"/>
      <c r="J20" s="272"/>
      <c r="K20" s="343"/>
      <c r="L20" s="343"/>
      <c r="M20" s="342"/>
      <c r="N20" s="342"/>
      <c r="O20" s="367"/>
    </row>
    <row r="21" spans="1:15" ht="63.75" x14ac:dyDescent="0.2">
      <c r="A21" s="353">
        <v>7</v>
      </c>
      <c r="B21" s="273" t="s">
        <v>179</v>
      </c>
      <c r="C21" s="170" t="s">
        <v>58</v>
      </c>
      <c r="D21" s="171">
        <v>122</v>
      </c>
      <c r="E21" s="355" t="s">
        <v>180</v>
      </c>
      <c r="F21" s="344">
        <f>Т.с.!C77</f>
        <v>0.1</v>
      </c>
      <c r="G21" s="174">
        <f>IF(F21&lt;=1,122,CONCATENATE(122,"*",F21))</f>
        <v>122</v>
      </c>
      <c r="H21" s="174">
        <f>IF(F21&lt;=1,122,D21*F21)</f>
        <v>122</v>
      </c>
      <c r="I21" s="345" t="s">
        <v>112</v>
      </c>
      <c r="J21" s="345"/>
      <c r="K21" s="346" t="s">
        <v>110</v>
      </c>
      <c r="L21" s="346" t="s">
        <v>111</v>
      </c>
      <c r="M21" s="342"/>
      <c r="N21" s="342"/>
      <c r="O21" s="367"/>
    </row>
    <row r="22" spans="1:15" ht="25.5" x14ac:dyDescent="0.2">
      <c r="A22" s="353">
        <v>8</v>
      </c>
      <c r="B22" s="169" t="s">
        <v>100</v>
      </c>
      <c r="C22" s="170" t="str">
        <f>IF(D14=723,"жилое",IF(D14=482,"жилое","общественное"))</f>
        <v>общественное</v>
      </c>
      <c r="D22" s="171">
        <f>IF(D14=723,K22,IF(D14=482,689,1241))</f>
        <v>1241</v>
      </c>
      <c r="E22" s="792" t="str">
        <f>IF(C22="жилое",R11,U11)</f>
        <v>3.2.5. Табл.10, п.2</v>
      </c>
      <c r="F22" s="172">
        <v>1</v>
      </c>
      <c r="G22" s="175" t="str">
        <f>CONCATENATE(D22,"*",F22)</f>
        <v>1241*1</v>
      </c>
      <c r="H22" s="1">
        <f>ROUND(D22*F22,2)</f>
        <v>1241</v>
      </c>
      <c r="I22" s="370"/>
      <c r="J22" s="422"/>
      <c r="K22" s="164">
        <v>1241</v>
      </c>
      <c r="L22" s="164">
        <v>689</v>
      </c>
      <c r="M22" s="269"/>
      <c r="N22" s="269"/>
      <c r="O22" s="367"/>
    </row>
    <row r="23" spans="1:15" ht="25.5" x14ac:dyDescent="0.2">
      <c r="A23" s="353">
        <v>9</v>
      </c>
      <c r="B23" s="274" t="s">
        <v>101</v>
      </c>
      <c r="C23" s="275" t="s">
        <v>181</v>
      </c>
      <c r="D23" s="276">
        <v>1027</v>
      </c>
      <c r="E23" s="277" t="s">
        <v>182</v>
      </c>
      <c r="F23" s="278">
        <v>1</v>
      </c>
      <c r="G23" s="356" t="str">
        <f>CONCATENATE(D23,"*",F23)</f>
        <v>1027*1</v>
      </c>
      <c r="H23" s="1">
        <f>ROUND(D23*F23,2)</f>
        <v>1027</v>
      </c>
      <c r="I23" s="367"/>
      <c r="J23" s="367"/>
      <c r="K23" s="342" t="s">
        <v>274</v>
      </c>
      <c r="L23" s="342" t="s">
        <v>268</v>
      </c>
      <c r="M23" s="342"/>
      <c r="N23" s="367"/>
      <c r="O23" s="367"/>
    </row>
    <row r="24" spans="1:15" x14ac:dyDescent="0.2">
      <c r="A24" s="279"/>
      <c r="B24" s="280" t="s">
        <v>183</v>
      </c>
      <c r="C24" s="281"/>
      <c r="D24" s="282"/>
      <c r="E24" s="281"/>
      <c r="F24" s="283"/>
      <c r="G24" s="284"/>
      <c r="H24" s="163"/>
      <c r="I24" s="367"/>
      <c r="J24" s="367"/>
      <c r="K24" s="342"/>
      <c r="L24" s="342"/>
      <c r="M24" s="342"/>
      <c r="N24" s="367"/>
      <c r="O24" s="367"/>
    </row>
    <row r="25" spans="1:15" ht="38.25" x14ac:dyDescent="0.2">
      <c r="A25" s="79">
        <v>10</v>
      </c>
      <c r="B25" s="169" t="s">
        <v>102</v>
      </c>
      <c r="C25" s="285" t="s">
        <v>184</v>
      </c>
      <c r="D25" s="171">
        <v>1222</v>
      </c>
      <c r="E25" s="355" t="s">
        <v>185</v>
      </c>
      <c r="F25" s="357">
        <v>1</v>
      </c>
      <c r="G25" s="357" t="str">
        <f>CONCATENATE(D25,"*",F25)</f>
        <v>1222*1</v>
      </c>
      <c r="H25" s="1">
        <f>ROUND(D25*F25,2)</f>
        <v>1222</v>
      </c>
      <c r="I25" s="286">
        <v>335</v>
      </c>
      <c r="J25" s="286"/>
      <c r="K25" s="342"/>
      <c r="L25" s="342"/>
      <c r="M25" s="342"/>
      <c r="N25" s="367"/>
      <c r="O25" s="367"/>
    </row>
    <row r="26" spans="1:15" ht="38.25" x14ac:dyDescent="0.2">
      <c r="A26" s="79">
        <v>11</v>
      </c>
      <c r="B26" s="168" t="s">
        <v>175</v>
      </c>
      <c r="C26" s="81" t="s">
        <v>186</v>
      </c>
      <c r="D26" s="174">
        <v>335</v>
      </c>
      <c r="E26" s="168" t="s">
        <v>187</v>
      </c>
      <c r="F26" s="175"/>
      <c r="G26" s="175"/>
      <c r="H26" s="163"/>
      <c r="I26" s="367"/>
      <c r="J26" s="367"/>
      <c r="K26" s="367"/>
      <c r="L26" s="367"/>
      <c r="M26" s="367"/>
      <c r="N26" s="367"/>
      <c r="O26" s="367"/>
    </row>
    <row r="27" spans="1:15" ht="25.5" x14ac:dyDescent="0.2">
      <c r="A27" s="287" t="s">
        <v>103</v>
      </c>
      <c r="B27" s="80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53"/>
      <c r="D27" s="53">
        <v>8</v>
      </c>
      <c r="E27" s="81"/>
      <c r="F27" s="82">
        <v>6</v>
      </c>
      <c r="G27" s="82" t="str">
        <f>CONCATENATE(D26,"*",D27,"*",F27)</f>
        <v>335*8*6</v>
      </c>
      <c r="H27" s="83">
        <f>ROUND(D26*D27*F27,2)</f>
        <v>16080</v>
      </c>
      <c r="I27" s="367"/>
      <c r="J27" s="367"/>
      <c r="K27" s="367"/>
      <c r="L27" s="367"/>
      <c r="M27" s="367"/>
      <c r="N27" s="367"/>
      <c r="O27" s="367"/>
    </row>
    <row r="28" spans="1:15" ht="25.5" x14ac:dyDescent="0.2">
      <c r="A28" s="287" t="s">
        <v>116</v>
      </c>
      <c r="B28" s="80" t="str">
        <f>CONCATENATE("Источники неорганизованные, (кол-во ",D28,") веществ в каждом ",F28)</f>
        <v>Источники неорганизованные, (кол-во 2) веществ в каждом 4</v>
      </c>
      <c r="C28" s="53"/>
      <c r="D28" s="53">
        <v>2</v>
      </c>
      <c r="E28" s="81"/>
      <c r="F28" s="82">
        <v>4</v>
      </c>
      <c r="G28" s="82" t="str">
        <f>CONCATENATE(D26,"*",D28,"*",F28)</f>
        <v>335*2*4</v>
      </c>
      <c r="H28" s="83">
        <f>ROUND(D26*D28*F28,2)</f>
        <v>2680</v>
      </c>
      <c r="I28" s="367"/>
      <c r="J28" s="367"/>
      <c r="K28" s="367"/>
      <c r="L28" s="367"/>
      <c r="M28" s="367"/>
      <c r="N28" s="367"/>
      <c r="O28" s="367"/>
    </row>
    <row r="29" spans="1:15" ht="25.5" x14ac:dyDescent="0.2">
      <c r="A29" s="288" t="s">
        <v>117</v>
      </c>
      <c r="B29" s="80" t="str">
        <f>CONCATENATE("Источники неорганизованные, (кол-во ",D29,") веществ в каждом ",F29)</f>
        <v>Источники неорганизованные, (кол-во 2) веществ в каждом 2</v>
      </c>
      <c r="C29" s="53"/>
      <c r="D29" s="53">
        <v>2</v>
      </c>
      <c r="E29" s="81"/>
      <c r="F29" s="82">
        <v>2</v>
      </c>
      <c r="G29" s="82" t="str">
        <f>CONCATENATE(D26,"*",D29,"*",F29)</f>
        <v>335*2*2</v>
      </c>
      <c r="H29" s="83">
        <f>ROUND(D26*D29*F29,2)</f>
        <v>1340</v>
      </c>
      <c r="I29" s="367"/>
      <c r="J29" s="367"/>
      <c r="K29" s="367"/>
      <c r="L29" s="367"/>
      <c r="M29" s="367"/>
      <c r="N29" s="367"/>
      <c r="O29" s="367"/>
    </row>
    <row r="30" spans="1:15" ht="16.5" customHeight="1" x14ac:dyDescent="0.2">
      <c r="A30" s="79"/>
      <c r="B30" s="289" t="s">
        <v>104</v>
      </c>
      <c r="C30" s="80"/>
      <c r="D30" s="176"/>
      <c r="E30" s="80"/>
      <c r="F30" s="82"/>
      <c r="G30" s="290">
        <f>SUM(H27:H29)</f>
        <v>20100</v>
      </c>
      <c r="H30" s="78"/>
    </row>
    <row r="31" spans="1:15" ht="21.75" customHeight="1" x14ac:dyDescent="0.2">
      <c r="A31" s="79">
        <v>12</v>
      </c>
      <c r="B31" s="165" t="s">
        <v>174</v>
      </c>
      <c r="C31" s="291">
        <v>0.3</v>
      </c>
      <c r="D31" s="174"/>
      <c r="E31" s="168" t="s">
        <v>188</v>
      </c>
      <c r="F31" s="175"/>
      <c r="G31" s="292" t="str">
        <f>CONCATENATE(G30," * ",C31)</f>
        <v>20100 * 0,3</v>
      </c>
      <c r="H31" s="1">
        <f>ROUND(G30*C31,2)</f>
        <v>6030</v>
      </c>
    </row>
    <row r="32" spans="1:15" ht="25.5" x14ac:dyDescent="0.2">
      <c r="A32" s="79">
        <v>13</v>
      </c>
      <c r="B32" s="165" t="s">
        <v>105</v>
      </c>
      <c r="C32" s="291">
        <v>0.14000000000000001</v>
      </c>
      <c r="D32" s="174"/>
      <c r="E32" s="168" t="s">
        <v>189</v>
      </c>
      <c r="F32" s="175"/>
      <c r="G32" s="292" t="str">
        <f>CONCATENATE(G30," * ",C32)</f>
        <v>20100 * 0,14</v>
      </c>
      <c r="H32" s="1">
        <f>ROUND(G30*C32,2)</f>
        <v>2814</v>
      </c>
    </row>
    <row r="33" spans="1:10" ht="24.75" customHeight="1" x14ac:dyDescent="0.2">
      <c r="A33" s="79">
        <v>14</v>
      </c>
      <c r="B33" s="165" t="s">
        <v>106</v>
      </c>
      <c r="C33" s="291">
        <v>0.14000000000000001</v>
      </c>
      <c r="D33" s="174"/>
      <c r="E33" s="168" t="s">
        <v>190</v>
      </c>
      <c r="F33" s="175"/>
      <c r="G33" s="292" t="str">
        <f>CONCATENATE(G30," * ",C33)</f>
        <v>20100 * 0,14</v>
      </c>
      <c r="H33" s="1">
        <f>ROUND(G30*C33,2)</f>
        <v>2814</v>
      </c>
    </row>
    <row r="34" spans="1:10" ht="38.25" hidden="1" x14ac:dyDescent="0.2">
      <c r="A34" s="79">
        <v>15</v>
      </c>
      <c r="B34" s="273" t="s">
        <v>250</v>
      </c>
      <c r="C34" s="357" t="s">
        <v>251</v>
      </c>
      <c r="D34" s="171">
        <v>653</v>
      </c>
      <c r="E34" s="355" t="s">
        <v>252</v>
      </c>
      <c r="F34" s="357">
        <v>0</v>
      </c>
      <c r="G34" s="357" t="str">
        <f>CONCATENATE(D34,"*",F34)</f>
        <v>653*0</v>
      </c>
      <c r="H34" s="347">
        <f>ROUND(D34*F34,2)</f>
        <v>0</v>
      </c>
    </row>
    <row r="35" spans="1:10" ht="38.25" x14ac:dyDescent="0.2">
      <c r="A35" s="79">
        <v>15</v>
      </c>
      <c r="B35" s="165" t="s">
        <v>191</v>
      </c>
      <c r="C35" s="175" t="s">
        <v>192</v>
      </c>
      <c r="D35" s="174">
        <v>932</v>
      </c>
      <c r="E35" s="168" t="s">
        <v>193</v>
      </c>
      <c r="F35" s="175">
        <v>1</v>
      </c>
      <c r="G35" s="175" t="str">
        <f>CONCATENATE(D35,"*",F35)</f>
        <v>932*1</v>
      </c>
      <c r="H35" s="1">
        <f>ROUND(D35*F35,2)</f>
        <v>932</v>
      </c>
    </row>
    <row r="36" spans="1:10" ht="38.25" x14ac:dyDescent="0.2">
      <c r="A36" s="79">
        <v>16</v>
      </c>
      <c r="B36" s="165" t="s">
        <v>59</v>
      </c>
      <c r="C36" s="291">
        <v>0.38</v>
      </c>
      <c r="D36" s="174"/>
      <c r="E36" s="168" t="s">
        <v>194</v>
      </c>
      <c r="F36" s="175"/>
      <c r="G36" s="292" t="str">
        <f>CONCATENATE(H35,"*",C36)</f>
        <v>932*0,38</v>
      </c>
      <c r="H36" s="1">
        <f>ROUND(H35*C36,2)</f>
        <v>354.16</v>
      </c>
    </row>
    <row r="37" spans="1:10" ht="51" x14ac:dyDescent="0.2">
      <c r="A37" s="79">
        <v>17</v>
      </c>
      <c r="B37" s="165" t="s">
        <v>107</v>
      </c>
      <c r="C37" s="175" t="s">
        <v>108</v>
      </c>
      <c r="D37" s="174">
        <v>212</v>
      </c>
      <c r="E37" s="168" t="s">
        <v>195</v>
      </c>
      <c r="F37" s="175">
        <v>4</v>
      </c>
      <c r="G37" s="175" t="str">
        <f>CONCATENATE(D37,"*",F37)</f>
        <v>212*4</v>
      </c>
      <c r="H37" s="163">
        <f>ROUND(D37*F37,2)</f>
        <v>848</v>
      </c>
    </row>
    <row r="38" spans="1:10" ht="51.75" customHeight="1" x14ac:dyDescent="0.2">
      <c r="A38" s="79">
        <v>18</v>
      </c>
      <c r="B38" s="293" t="s">
        <v>60</v>
      </c>
      <c r="C38" s="356" t="s">
        <v>108</v>
      </c>
      <c r="D38" s="294">
        <v>850</v>
      </c>
      <c r="E38" s="354" t="s">
        <v>196</v>
      </c>
      <c r="F38" s="356">
        <f>F37</f>
        <v>4</v>
      </c>
      <c r="G38" s="356" t="str">
        <f>CONCATENATE(D38,"*",F38)</f>
        <v>850*4</v>
      </c>
      <c r="H38" s="163">
        <f>ROUND(D38*F38,2)</f>
        <v>3400</v>
      </c>
    </row>
    <row r="39" spans="1:10" ht="24.75" customHeight="1" x14ac:dyDescent="0.2">
      <c r="A39" s="79">
        <v>19</v>
      </c>
      <c r="B39" s="165" t="s">
        <v>197</v>
      </c>
      <c r="C39" s="291">
        <v>0.4</v>
      </c>
      <c r="D39" s="174"/>
      <c r="E39" s="168" t="s">
        <v>198</v>
      </c>
      <c r="F39" s="175"/>
      <c r="G39" s="292" t="str">
        <f>CONCATENATE("(",H37,"+",H38,")","*",0.4)</f>
        <v>(848+3400)*0,4</v>
      </c>
      <c r="H39" s="1">
        <f>ROUND((H37+H38)*C39,2)</f>
        <v>1699.2</v>
      </c>
    </row>
    <row r="40" spans="1:10" x14ac:dyDescent="0.2">
      <c r="A40" s="296"/>
      <c r="B40" s="297" t="s">
        <v>199</v>
      </c>
      <c r="C40" s="298"/>
      <c r="D40" s="282"/>
      <c r="E40" s="281"/>
      <c r="F40" s="298"/>
      <c r="G40" s="414"/>
      <c r="H40" s="487"/>
      <c r="I40" s="299"/>
      <c r="J40" s="299"/>
    </row>
    <row r="41" spans="1:10" ht="51" x14ac:dyDescent="0.2">
      <c r="A41" s="79">
        <v>20</v>
      </c>
      <c r="B41" s="165" t="s">
        <v>200</v>
      </c>
      <c r="C41" s="175" t="s">
        <v>201</v>
      </c>
      <c r="D41" s="174">
        <v>729</v>
      </c>
      <c r="E41" s="168" t="s">
        <v>202</v>
      </c>
      <c r="F41" s="175">
        <v>1</v>
      </c>
      <c r="G41" s="175" t="str">
        <f>CONCATENATE(D41,"*",F41)</f>
        <v>729*1</v>
      </c>
      <c r="H41" s="1">
        <f>ROUND(D41*F41,2)</f>
        <v>729</v>
      </c>
    </row>
    <row r="42" spans="1:10" ht="27.75" customHeight="1" x14ac:dyDescent="0.2">
      <c r="A42" s="79">
        <v>21</v>
      </c>
      <c r="B42" s="293" t="s">
        <v>203</v>
      </c>
      <c r="C42" s="295">
        <v>0.25</v>
      </c>
      <c r="D42" s="294"/>
      <c r="E42" s="354" t="s">
        <v>204</v>
      </c>
      <c r="F42" s="356"/>
      <c r="G42" s="358" t="str">
        <f>CONCATENATE(H41,"*",C42)</f>
        <v>729*0,25</v>
      </c>
      <c r="H42" s="1">
        <f>ROUND(H41*C42,2)</f>
        <v>182.25</v>
      </c>
    </row>
    <row r="43" spans="1:10" ht="27.75" customHeight="1" x14ac:dyDescent="0.2">
      <c r="A43" s="296"/>
      <c r="B43" s="297" t="s">
        <v>205</v>
      </c>
      <c r="C43" s="300"/>
      <c r="D43" s="282"/>
      <c r="E43" s="281"/>
      <c r="F43" s="298"/>
      <c r="G43" s="301"/>
      <c r="H43" s="163"/>
    </row>
    <row r="44" spans="1:10" ht="15.75" customHeight="1" x14ac:dyDescent="0.2">
      <c r="A44" s="302"/>
      <c r="B44" s="303" t="s">
        <v>72</v>
      </c>
      <c r="C44" s="304"/>
      <c r="D44" s="305"/>
      <c r="E44" s="306"/>
      <c r="F44" s="307"/>
      <c r="G44" s="308"/>
      <c r="H44" s="488"/>
    </row>
    <row r="45" spans="1:10" x14ac:dyDescent="0.2">
      <c r="A45" s="1094">
        <v>22</v>
      </c>
      <c r="B45" s="1096" t="s">
        <v>206</v>
      </c>
      <c r="C45" s="1098" t="s">
        <v>207</v>
      </c>
      <c r="D45" s="1100">
        <v>410</v>
      </c>
      <c r="E45" s="354" t="s">
        <v>208</v>
      </c>
      <c r="F45" s="356">
        <v>1</v>
      </c>
      <c r="G45" s="356" t="str">
        <f>CONCATENATE(D45,"*",F45,"*",F46)</f>
        <v>410*1*1,1</v>
      </c>
      <c r="H45" s="488">
        <f>ROUND(D45*F45*F46,2)</f>
        <v>451</v>
      </c>
    </row>
    <row r="46" spans="1:10" x14ac:dyDescent="0.2">
      <c r="A46" s="1095"/>
      <c r="B46" s="1097"/>
      <c r="C46" s="1099"/>
      <c r="D46" s="1101"/>
      <c r="E46" s="355" t="s">
        <v>209</v>
      </c>
      <c r="F46" s="357">
        <v>1.1000000000000001</v>
      </c>
      <c r="G46" s="357"/>
      <c r="H46" s="309"/>
      <c r="I46" s="367"/>
    </row>
    <row r="47" spans="1:10" ht="25.5" x14ac:dyDescent="0.2">
      <c r="A47" s="79">
        <v>23</v>
      </c>
      <c r="B47" s="165" t="s">
        <v>211</v>
      </c>
      <c r="C47" s="356" t="s">
        <v>210</v>
      </c>
      <c r="D47" s="358">
        <v>410</v>
      </c>
      <c r="E47" s="354" t="s">
        <v>212</v>
      </c>
      <c r="F47" s="356">
        <v>1</v>
      </c>
      <c r="G47" s="175" t="str">
        <f>CONCATENATE(D47,"*",F47)</f>
        <v>410*1</v>
      </c>
      <c r="H47" s="163">
        <f>ROUND(D47*F47,2)</f>
        <v>410</v>
      </c>
    </row>
    <row r="48" spans="1:10" ht="42.75" customHeight="1" x14ac:dyDescent="0.2">
      <c r="A48" s="79">
        <v>24</v>
      </c>
      <c r="B48" s="165" t="s">
        <v>213</v>
      </c>
      <c r="C48" s="356" t="s">
        <v>210</v>
      </c>
      <c r="D48" s="358">
        <v>1650</v>
      </c>
      <c r="E48" s="354" t="s">
        <v>214</v>
      </c>
      <c r="F48" s="800">
        <f>IF(F21&lt;=0.5,6,9)</f>
        <v>6</v>
      </c>
      <c r="G48" s="175" t="str">
        <f>CONCATENATE(D48,"*",F48)</f>
        <v>1650*6</v>
      </c>
      <c r="H48" s="163">
        <f>ROUND(D48*F48,2)</f>
        <v>9900</v>
      </c>
      <c r="I48" s="367"/>
    </row>
    <row r="49" spans="1:11" ht="25.5" x14ac:dyDescent="0.2">
      <c r="A49" s="1094">
        <v>25</v>
      </c>
      <c r="B49" s="1096" t="s">
        <v>167</v>
      </c>
      <c r="C49" s="1098" t="s">
        <v>207</v>
      </c>
      <c r="D49" s="1100">
        <v>1648</v>
      </c>
      <c r="E49" s="354" t="s">
        <v>215</v>
      </c>
      <c r="F49" s="356">
        <v>1</v>
      </c>
      <c r="G49" s="356" t="str">
        <f>CONCATENATE(D49,"*",F49,"*",F50)</f>
        <v>1648*1*1,1</v>
      </c>
      <c r="H49" s="488">
        <f>ROUND(D49*F49*F50,2)</f>
        <v>1812.8</v>
      </c>
    </row>
    <row r="50" spans="1:11" x14ac:dyDescent="0.2">
      <c r="A50" s="1095"/>
      <c r="B50" s="1097"/>
      <c r="C50" s="1099"/>
      <c r="D50" s="1101"/>
      <c r="E50" s="355" t="s">
        <v>209</v>
      </c>
      <c r="F50" s="357">
        <f>F46</f>
        <v>1.1000000000000001</v>
      </c>
      <c r="G50" s="357"/>
      <c r="H50" s="309"/>
      <c r="I50" s="367"/>
    </row>
    <row r="51" spans="1:11" ht="25.5" x14ac:dyDescent="0.2">
      <c r="A51" s="1094">
        <v>26</v>
      </c>
      <c r="B51" s="1096" t="s">
        <v>216</v>
      </c>
      <c r="C51" s="1098" t="s">
        <v>207</v>
      </c>
      <c r="D51" s="1100">
        <v>1757</v>
      </c>
      <c r="E51" s="354" t="s">
        <v>217</v>
      </c>
      <c r="F51" s="356">
        <v>1</v>
      </c>
      <c r="G51" s="356" t="str">
        <f>CONCATENATE(D51,"*",F51,"*",F52)</f>
        <v>1757*1*1,1</v>
      </c>
      <c r="H51" s="488">
        <f>ROUND(D51*F51*F52,2)</f>
        <v>1932.7</v>
      </c>
    </row>
    <row r="52" spans="1:11" x14ac:dyDescent="0.2">
      <c r="A52" s="1095"/>
      <c r="B52" s="1097"/>
      <c r="C52" s="1099"/>
      <c r="D52" s="1101"/>
      <c r="E52" s="355" t="s">
        <v>209</v>
      </c>
      <c r="F52" s="357">
        <f>F46</f>
        <v>1.1000000000000001</v>
      </c>
      <c r="G52" s="357"/>
      <c r="H52" s="309"/>
      <c r="I52" s="367"/>
    </row>
    <row r="53" spans="1:11" ht="25.5" x14ac:dyDescent="0.2">
      <c r="A53" s="1094">
        <v>27</v>
      </c>
      <c r="B53" s="1096" t="s">
        <v>168</v>
      </c>
      <c r="C53" s="1098" t="s">
        <v>207</v>
      </c>
      <c r="D53" s="1100">
        <v>439</v>
      </c>
      <c r="E53" s="354" t="s">
        <v>218</v>
      </c>
      <c r="F53" s="356">
        <v>1</v>
      </c>
      <c r="G53" s="356" t="str">
        <f>CONCATENATE(D53,"*",F53,"*",F54)</f>
        <v>439*1*1,1</v>
      </c>
      <c r="H53" s="1">
        <f>ROUND(D53*F53*F54,2)</f>
        <v>482.9</v>
      </c>
    </row>
    <row r="54" spans="1:11" x14ac:dyDescent="0.2">
      <c r="A54" s="1095"/>
      <c r="B54" s="1097"/>
      <c r="C54" s="1099"/>
      <c r="D54" s="1101"/>
      <c r="E54" s="355" t="s">
        <v>209</v>
      </c>
      <c r="F54" s="357">
        <f>F46</f>
        <v>1.1000000000000001</v>
      </c>
      <c r="G54" s="175"/>
      <c r="H54" s="489"/>
      <c r="I54" s="367"/>
    </row>
    <row r="55" spans="1:11" ht="38.25" x14ac:dyDescent="0.2">
      <c r="A55" s="695">
        <v>28</v>
      </c>
      <c r="B55" s="165" t="s">
        <v>427</v>
      </c>
      <c r="C55" s="275" t="s">
        <v>428</v>
      </c>
      <c r="D55" s="697">
        <v>7630</v>
      </c>
      <c r="E55" s="168" t="s">
        <v>429</v>
      </c>
      <c r="F55" s="698">
        <v>1</v>
      </c>
      <c r="G55" s="696" t="str">
        <f>CONCATENATE(D55,"*",F55)</f>
        <v>7630*1</v>
      </c>
      <c r="H55" s="1">
        <f>ROUND(D55*F55,2)</f>
        <v>7630</v>
      </c>
      <c r="I55" s="367"/>
    </row>
    <row r="56" spans="1:11" ht="38.25" x14ac:dyDescent="0.2">
      <c r="A56" s="695">
        <v>29</v>
      </c>
      <c r="B56" s="165" t="s">
        <v>430</v>
      </c>
      <c r="C56" s="275" t="s">
        <v>431</v>
      </c>
      <c r="D56" s="697">
        <v>1065</v>
      </c>
      <c r="E56" s="168" t="s">
        <v>432</v>
      </c>
      <c r="F56" s="698">
        <v>1</v>
      </c>
      <c r="G56" s="175" t="str">
        <f>CONCATENATE(D56,"*",F56)</f>
        <v>1065*1</v>
      </c>
      <c r="H56" s="1">
        <f>ROUND(D56*F56,2)</f>
        <v>1065</v>
      </c>
      <c r="I56" s="367"/>
      <c r="J56" s="797"/>
      <c r="K56" s="797"/>
    </row>
    <row r="57" spans="1:11" ht="17.25" customHeight="1" x14ac:dyDescent="0.2">
      <c r="A57" s="79"/>
      <c r="B57" s="40" t="s">
        <v>219</v>
      </c>
      <c r="C57" s="168"/>
      <c r="D57" s="174"/>
      <c r="E57" s="168"/>
      <c r="F57" s="175"/>
      <c r="G57" s="413"/>
      <c r="H57" s="412">
        <f>SUM(H17:H56)</f>
        <v>69533.010000000009</v>
      </c>
      <c r="J57" s="797"/>
      <c r="K57" s="797"/>
    </row>
    <row r="58" spans="1:11" x14ac:dyDescent="0.2">
      <c r="A58" s="79"/>
      <c r="B58" s="168" t="s">
        <v>61</v>
      </c>
      <c r="C58" s="799">
        <f>IF(D14=723,J58,IF(D14=1229,J58,K58))</f>
        <v>9.7000000000000003E-3</v>
      </c>
      <c r="D58" s="364"/>
      <c r="E58" s="168" t="s">
        <v>220</v>
      </c>
      <c r="F58" s="175"/>
      <c r="G58" s="310" t="str">
        <f>CONCATENATE(H57,"*",C58)</f>
        <v>69533,01*0,0097</v>
      </c>
      <c r="H58" s="163">
        <f>ROUND(H57*0.0097,2)</f>
        <v>674.47</v>
      </c>
      <c r="I58" s="346"/>
      <c r="J58" s="439">
        <v>5.7000000000000002E-3</v>
      </c>
      <c r="K58" s="439">
        <v>9.7000000000000003E-3</v>
      </c>
    </row>
    <row r="59" spans="1:11" ht="17.25" customHeight="1" x14ac:dyDescent="0.2">
      <c r="A59" s="79"/>
      <c r="B59" s="40" t="s">
        <v>109</v>
      </c>
      <c r="C59" s="798"/>
      <c r="D59" s="174"/>
      <c r="E59" s="168"/>
      <c r="F59" s="175"/>
      <c r="G59" s="175" t="str">
        <f>CONCATENATE(H57," + ",H58)</f>
        <v>69533,01 + 674,47</v>
      </c>
      <c r="H59" s="412">
        <f>ROUND(H57+H58,2)</f>
        <v>70207.48</v>
      </c>
      <c r="I59" s="346"/>
      <c r="J59" s="798"/>
      <c r="K59" s="798"/>
    </row>
    <row r="60" spans="1:11" x14ac:dyDescent="0.2">
      <c r="A60" s="79"/>
      <c r="B60" s="168" t="s">
        <v>62</v>
      </c>
      <c r="C60" s="799">
        <f>IF(D14=723,J60,IF(D14=1229,J60,K60))</f>
        <v>1.11E-2</v>
      </c>
      <c r="D60" s="364"/>
      <c r="E60" s="168" t="s">
        <v>221</v>
      </c>
      <c r="F60" s="310"/>
      <c r="G60" s="310" t="str">
        <f>CONCATENATE(H59,"*",C60)</f>
        <v>70207,48*0,0111</v>
      </c>
      <c r="H60" s="163">
        <f>ROUND(H59*C60,2)</f>
        <v>779.3</v>
      </c>
      <c r="I60" s="346"/>
      <c r="J60" s="439">
        <v>5.4000000000000003E-3</v>
      </c>
      <c r="K60" s="439">
        <v>1.11E-2</v>
      </c>
    </row>
    <row r="61" spans="1:11" x14ac:dyDescent="0.2">
      <c r="A61" s="79"/>
      <c r="B61" s="168" t="s">
        <v>222</v>
      </c>
      <c r="C61" s="439">
        <f>IF(D14=723,J61,IF(D14=1229,J61,K61))</f>
        <v>2.5700000000000001E-2</v>
      </c>
      <c r="D61" s="364"/>
      <c r="E61" s="168" t="s">
        <v>223</v>
      </c>
      <c r="F61" s="310">
        <v>4</v>
      </c>
      <c r="G61" s="310" t="str">
        <f>CONCATENATE(H59,"*",C61,)</f>
        <v>70207,48*0,0257</v>
      </c>
      <c r="H61" s="1">
        <f>ROUND(H59*C61,2)</f>
        <v>1804.33</v>
      </c>
      <c r="I61" s="346"/>
      <c r="J61" s="439">
        <v>1.1299999999999999E-2</v>
      </c>
      <c r="K61" s="439">
        <v>2.5700000000000001E-2</v>
      </c>
    </row>
    <row r="62" spans="1:11" ht="24.75" thickBot="1" x14ac:dyDescent="0.25">
      <c r="A62" s="406"/>
      <c r="B62" s="277"/>
      <c r="C62" s="311">
        <v>0.15</v>
      </c>
      <c r="D62" s="365"/>
      <c r="E62" s="312" t="s">
        <v>253</v>
      </c>
      <c r="F62" s="313"/>
      <c r="G62" s="314" t="str">
        <f>CONCATENATE(H61,"*",C62)</f>
        <v>1804,33*0,15</v>
      </c>
      <c r="H62" s="255">
        <f>ROUND(H61*0.15,2)</f>
        <v>270.64999999999998</v>
      </c>
      <c r="J62" s="796"/>
      <c r="K62" s="796"/>
    </row>
    <row r="63" spans="1:11" ht="48" customHeight="1" thickBot="1" x14ac:dyDescent="0.25">
      <c r="A63" s="407"/>
      <c r="B63" s="408" t="s">
        <v>63</v>
      </c>
      <c r="C63" s="408"/>
      <c r="D63" s="409"/>
      <c r="E63" s="408"/>
      <c r="F63" s="410"/>
      <c r="G63" s="410" t="str">
        <f>CONCATENATE(H59," + ",H60,"+",H61," + ",H16,"+",H62)</f>
        <v>70207,48 + 779,3+1804,33 + 2146+270,65</v>
      </c>
      <c r="H63" s="411">
        <f>ROUND(H59+H60+H61+H62+H16,2)</f>
        <v>75207.759999999995</v>
      </c>
    </row>
    <row r="66" spans="1:7" s="708" customFormat="1" ht="15" x14ac:dyDescent="0.2">
      <c r="A66" s="617"/>
      <c r="B66" s="704"/>
      <c r="C66" s="705"/>
      <c r="D66" s="706"/>
      <c r="E66" s="707"/>
    </row>
    <row r="67" spans="1:7" s="708" customFormat="1" ht="15" x14ac:dyDescent="0.2">
      <c r="A67" s="617"/>
      <c r="B67" s="704"/>
      <c r="C67" s="705"/>
      <c r="D67" s="706"/>
      <c r="E67" s="707"/>
    </row>
    <row r="68" spans="1:7" s="708" customFormat="1" ht="15" x14ac:dyDescent="0.2">
      <c r="A68" s="617"/>
      <c r="B68" s="704"/>
      <c r="C68" s="705"/>
      <c r="D68" s="706"/>
      <c r="E68" s="707"/>
    </row>
    <row r="69" spans="1:7" s="616" customFormat="1" ht="15" x14ac:dyDescent="0.2">
      <c r="A69" s="617"/>
      <c r="B69" s="490"/>
      <c r="C69" s="490"/>
      <c r="D69" s="490"/>
      <c r="G69" s="504"/>
    </row>
    <row r="70" spans="1:7" s="618" customFormat="1" ht="15" x14ac:dyDescent="0.2">
      <c r="A70" s="617"/>
      <c r="B70" s="502"/>
      <c r="C70" s="502"/>
      <c r="D70" s="502"/>
      <c r="G70" s="504"/>
    </row>
    <row r="71" spans="1:7" s="618" customFormat="1" ht="15" x14ac:dyDescent="0.2">
      <c r="A71" s="617"/>
      <c r="B71" s="502"/>
      <c r="C71" s="502"/>
      <c r="D71" s="502"/>
      <c r="G71" s="504"/>
    </row>
    <row r="72" spans="1:7" s="617" customFormat="1" ht="15" x14ac:dyDescent="0.2">
      <c r="A72" s="616"/>
      <c r="B72" s="490"/>
      <c r="C72" s="490"/>
      <c r="D72" s="490"/>
      <c r="G72" s="619"/>
    </row>
    <row r="73" spans="1:7" s="617" customFormat="1" ht="15" x14ac:dyDescent="0.2">
      <c r="A73" s="616"/>
      <c r="B73" s="490"/>
      <c r="C73" s="490"/>
      <c r="D73" s="490"/>
      <c r="G73" s="504"/>
    </row>
    <row r="74" spans="1:7" s="617" customFormat="1" ht="15" x14ac:dyDescent="0.2">
      <c r="A74" s="616"/>
      <c r="B74" s="710"/>
      <c r="C74" s="710"/>
      <c r="D74" s="711"/>
      <c r="E74" s="712"/>
    </row>
    <row r="75" spans="1:7" s="617" customFormat="1" ht="15" x14ac:dyDescent="0.2">
      <c r="A75" s="616"/>
      <c r="B75" s="710"/>
      <c r="C75" s="710"/>
      <c r="D75" s="711"/>
      <c r="E75" s="713"/>
    </row>
    <row r="76" spans="1:7" s="617" customFormat="1" ht="15" x14ac:dyDescent="0.2">
      <c r="A76" s="616"/>
      <c r="B76" s="710"/>
      <c r="C76" s="710"/>
      <c r="D76" s="711"/>
      <c r="E76" s="712"/>
    </row>
    <row r="77" spans="1:7" s="445" customFormat="1" ht="15" x14ac:dyDescent="0.2">
      <c r="A77" s="617"/>
      <c r="B77" s="704"/>
      <c r="C77" s="705"/>
      <c r="D77" s="706"/>
      <c r="E77" s="707"/>
    </row>
  </sheetData>
  <mergeCells count="23">
    <mergeCell ref="D51:D52"/>
    <mergeCell ref="A45:A46"/>
    <mergeCell ref="C45:C46"/>
    <mergeCell ref="A53:A54"/>
    <mergeCell ref="B53:B54"/>
    <mergeCell ref="C53:C54"/>
    <mergeCell ref="D53:D54"/>
    <mergeCell ref="B51:B52"/>
    <mergeCell ref="A51:A52"/>
    <mergeCell ref="C51:C52"/>
    <mergeCell ref="B12:C12"/>
    <mergeCell ref="A49:A50"/>
    <mergeCell ref="B49:B50"/>
    <mergeCell ref="C49:C50"/>
    <mergeCell ref="D49:D50"/>
    <mergeCell ref="D45:D46"/>
    <mergeCell ref="B45:B46"/>
    <mergeCell ref="A11:H11"/>
    <mergeCell ref="F1:H1"/>
    <mergeCell ref="F2:H2"/>
    <mergeCell ref="A5:H5"/>
    <mergeCell ref="A7:H7"/>
    <mergeCell ref="A9:H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view="pageBreakPreview" topLeftCell="A19" zoomScale="80" zoomScaleNormal="100" zoomScaleSheetLayoutView="80" workbookViewId="0">
      <selection activeCell="B30" sqref="B30:I40"/>
    </sheetView>
  </sheetViews>
  <sheetFormatPr defaultColWidth="9.140625" defaultRowHeight="12.75" x14ac:dyDescent="0.2"/>
  <cols>
    <col min="1" max="1" width="3.85546875" style="66" customWidth="1"/>
    <col min="2" max="2" width="23.7109375" style="66" customWidth="1"/>
    <col min="3" max="3" width="15" style="66" customWidth="1"/>
    <col min="4" max="4" width="13.28515625" style="67" customWidth="1"/>
    <col min="5" max="5" width="17.42578125" style="66" customWidth="1"/>
    <col min="6" max="6" width="7.140625" style="115" customWidth="1"/>
    <col min="7" max="7" width="16.85546875" style="66" customWidth="1"/>
    <col min="8" max="8" width="18.85546875" style="67" customWidth="1"/>
    <col min="9" max="9" width="20.28515625" style="66" customWidth="1"/>
    <col min="10" max="11" width="30.5703125" style="66" customWidth="1"/>
    <col min="12" max="16384" width="9.140625" style="66"/>
  </cols>
  <sheetData>
    <row r="1" spans="1:11" s="86" customFormat="1" x14ac:dyDescent="0.2">
      <c r="A1" s="84" t="s">
        <v>66</v>
      </c>
      <c r="B1" s="84"/>
      <c r="C1" s="85"/>
      <c r="E1" s="84"/>
      <c r="F1" s="87" t="s">
        <v>67</v>
      </c>
    </row>
    <row r="2" spans="1:11" s="86" customFormat="1" x14ac:dyDescent="0.2">
      <c r="A2" s="84"/>
      <c r="B2" s="84"/>
      <c r="C2" s="85"/>
      <c r="E2" s="88"/>
      <c r="F2" s="9" t="s">
        <v>81</v>
      </c>
    </row>
    <row r="3" spans="1:11" s="86" customFormat="1" x14ac:dyDescent="0.2">
      <c r="A3" s="84"/>
      <c r="B3" s="89"/>
      <c r="C3" s="85"/>
      <c r="E3" s="88"/>
      <c r="F3" s="9" t="s">
        <v>89</v>
      </c>
    </row>
    <row r="4" spans="1:11" x14ac:dyDescent="0.2">
      <c r="D4" s="90"/>
      <c r="F4" s="1113"/>
      <c r="G4" s="1113"/>
      <c r="H4" s="1113"/>
    </row>
    <row r="5" spans="1:11" x14ac:dyDescent="0.2">
      <c r="D5" s="90"/>
      <c r="F5" s="207"/>
      <c r="G5" s="208"/>
      <c r="H5" s="91"/>
    </row>
    <row r="6" spans="1:11" x14ac:dyDescent="0.2">
      <c r="D6" s="90"/>
      <c r="F6" s="207"/>
      <c r="G6" s="208"/>
      <c r="H6" s="91"/>
    </row>
    <row r="7" spans="1:11" ht="14.25" x14ac:dyDescent="0.2">
      <c r="A7" s="1031" t="s">
        <v>426</v>
      </c>
      <c r="B7" s="1031"/>
      <c r="C7" s="1031"/>
      <c r="D7" s="1031"/>
      <c r="E7" s="1031"/>
      <c r="F7" s="1031"/>
      <c r="G7" s="1031"/>
      <c r="H7" s="1031"/>
    </row>
    <row r="8" spans="1:11" x14ac:dyDescent="0.2">
      <c r="A8" s="359"/>
      <c r="B8" s="359"/>
      <c r="C8" s="359"/>
      <c r="D8" s="359"/>
      <c r="E8" s="359"/>
      <c r="F8" s="359"/>
      <c r="G8" s="359"/>
      <c r="H8" s="359"/>
    </row>
    <row r="9" spans="1:11" ht="86.25" customHeight="1" x14ac:dyDescent="0.2">
      <c r="A9" s="1114" t="str">
        <f>'С С Р'!A6:G6</f>
        <v>Выполнение изыскательских работ, разработка проектной документации, рабочей документации и на их основе составление сметы на строительство тепловой сети для осуществления подключения объекта капитального строительства «Школа на 800 мест», расположенного по адресам: г. Москва, ш. Дмитровское, вл.107; г. Москва, ш. Дмитровское, вл.107, стр.11А</v>
      </c>
      <c r="B9" s="1115"/>
      <c r="C9" s="1115"/>
      <c r="D9" s="1115"/>
      <c r="E9" s="1115"/>
      <c r="F9" s="1115"/>
      <c r="G9" s="1115"/>
      <c r="H9" s="1115"/>
      <c r="J9" s="92" t="s">
        <v>446</v>
      </c>
      <c r="K9" s="92" t="s">
        <v>118</v>
      </c>
    </row>
    <row r="10" spans="1:11" x14ac:dyDescent="0.2">
      <c r="A10" s="93"/>
      <c r="B10" s="69"/>
      <c r="C10" s="69"/>
      <c r="D10" s="69"/>
      <c r="E10" s="69"/>
      <c r="F10" s="69"/>
      <c r="G10" s="69"/>
      <c r="H10" s="69"/>
      <c r="J10" s="375"/>
      <c r="K10" s="375"/>
    </row>
    <row r="11" spans="1:11" x14ac:dyDescent="0.2">
      <c r="A11" s="1116" t="s">
        <v>92</v>
      </c>
      <c r="B11" s="1116"/>
      <c r="C11" s="1116"/>
      <c r="D11" s="1116"/>
      <c r="E11" s="1116"/>
      <c r="F11" s="1116"/>
      <c r="G11" s="1116"/>
      <c r="H11" s="1116"/>
      <c r="J11" s="92">
        <v>50000</v>
      </c>
      <c r="K11" s="92">
        <v>2500</v>
      </c>
    </row>
    <row r="12" spans="1:11" x14ac:dyDescent="0.2">
      <c r="A12" s="359"/>
      <c r="B12" s="359"/>
      <c r="C12" s="359"/>
      <c r="D12" s="359"/>
      <c r="E12" s="359"/>
      <c r="F12" s="359"/>
      <c r="G12" s="359"/>
      <c r="H12" s="359"/>
      <c r="J12" s="92">
        <v>100000</v>
      </c>
      <c r="K12" s="92">
        <v>4500</v>
      </c>
    </row>
    <row r="13" spans="1:11" x14ac:dyDescent="0.2">
      <c r="A13" s="1108"/>
      <c r="B13" s="1108"/>
      <c r="C13" s="1108"/>
      <c r="D13" s="1108"/>
      <c r="E13" s="1108"/>
      <c r="F13" s="1108"/>
      <c r="G13" s="1108"/>
      <c r="H13" s="1108"/>
      <c r="J13" s="92">
        <v>200000</v>
      </c>
      <c r="K13" s="92">
        <v>8000</v>
      </c>
    </row>
    <row r="14" spans="1:11" ht="37.5" customHeight="1" x14ac:dyDescent="0.2">
      <c r="A14" s="1112" t="s">
        <v>258</v>
      </c>
      <c r="B14" s="1108"/>
      <c r="C14" s="1108"/>
      <c r="D14" s="1108"/>
      <c r="E14" s="1108"/>
      <c r="F14" s="1108"/>
      <c r="G14" s="1108"/>
      <c r="H14" s="1108"/>
      <c r="I14" s="348"/>
      <c r="J14" s="92">
        <v>500000</v>
      </c>
      <c r="K14" s="92">
        <v>16500</v>
      </c>
    </row>
    <row r="15" spans="1:11" x14ac:dyDescent="0.2">
      <c r="A15" s="1108"/>
      <c r="B15" s="1108"/>
      <c r="C15" s="1108"/>
      <c r="D15" s="1108"/>
      <c r="E15" s="1108"/>
      <c r="F15" s="1108"/>
      <c r="G15" s="1108"/>
      <c r="H15" s="1108"/>
      <c r="J15" s="92">
        <v>1000000</v>
      </c>
      <c r="K15" s="92">
        <v>23000</v>
      </c>
    </row>
    <row r="16" spans="1:11" x14ac:dyDescent="0.2">
      <c r="A16" s="1108"/>
      <c r="B16" s="1108"/>
      <c r="C16" s="1108"/>
      <c r="D16" s="1108"/>
      <c r="E16" s="1108"/>
      <c r="F16" s="1108"/>
      <c r="G16" s="1108"/>
      <c r="H16" s="1108"/>
      <c r="I16" s="319"/>
      <c r="J16" s="92">
        <v>2000000</v>
      </c>
      <c r="K16" s="92">
        <v>34000</v>
      </c>
    </row>
    <row r="17" spans="1:11" ht="13.5" thickBot="1" x14ac:dyDescent="0.25">
      <c r="A17" s="208"/>
      <c r="B17" s="208"/>
      <c r="C17" s="208"/>
      <c r="D17" s="208"/>
      <c r="E17" s="208"/>
      <c r="F17" s="208"/>
      <c r="G17" s="208"/>
      <c r="H17" s="208"/>
      <c r="J17" s="92">
        <v>3000000</v>
      </c>
      <c r="K17" s="92">
        <v>42000</v>
      </c>
    </row>
    <row r="18" spans="1:11" ht="26.25" thickBot="1" x14ac:dyDescent="0.25">
      <c r="A18" s="459" t="s">
        <v>16</v>
      </c>
      <c r="B18" s="460" t="s">
        <v>2</v>
      </c>
      <c r="C18" s="460"/>
      <c r="D18" s="461" t="s">
        <v>8</v>
      </c>
      <c r="E18" s="460" t="s">
        <v>3</v>
      </c>
      <c r="F18" s="462" t="s">
        <v>4</v>
      </c>
      <c r="G18" s="460" t="s">
        <v>0</v>
      </c>
      <c r="H18" s="463" t="s">
        <v>5</v>
      </c>
      <c r="J18" s="92">
        <v>3000001</v>
      </c>
      <c r="K18" s="92">
        <v>55120</v>
      </c>
    </row>
    <row r="19" spans="1:11" ht="60.75" customHeight="1" x14ac:dyDescent="0.2">
      <c r="A19" s="470"/>
      <c r="B19" s="1109" t="s">
        <v>119</v>
      </c>
      <c r="C19" s="1109"/>
      <c r="D19" s="455">
        <f>Т.с.!H59</f>
        <v>563104.4</v>
      </c>
      <c r="E19" s="456"/>
      <c r="F19" s="457"/>
      <c r="G19" s="458" t="str">
        <f>CONCATENATE(D19,"*",0.4)</f>
        <v>563104,4*0,4</v>
      </c>
      <c r="H19" s="471">
        <f>ROUND(D19*0.4,2)</f>
        <v>225241.76</v>
      </c>
    </row>
    <row r="20" spans="1:11" ht="69" customHeight="1" thickBot="1" x14ac:dyDescent="0.25">
      <c r="A20" s="472"/>
      <c r="B20" s="1110" t="s">
        <v>259</v>
      </c>
      <c r="C20" s="1110"/>
      <c r="D20" s="464">
        <f>IF(H19&lt;=J11,K11,IF(H19&lt;=J12,K12,IF(H19&lt;=J13,K13,IF(H19&lt;=J14,K14,IF(H19&lt;=J15,K15,IF(H19&lt;=J16,K16,IF(H19&lt;=J17,K17,IF(H19&gt;J18,K18,0))))))))</f>
        <v>16500</v>
      </c>
      <c r="E20" s="465" t="s">
        <v>260</v>
      </c>
      <c r="F20" s="466">
        <v>1</v>
      </c>
      <c r="G20" s="467" t="str">
        <f>CONCATENATE(D20,"*",F20)</f>
        <v>16500*1</v>
      </c>
      <c r="H20" s="473">
        <f>ROUND(D20*F20,2)</f>
        <v>16500</v>
      </c>
      <c r="I20" s="349"/>
    </row>
    <row r="21" spans="1:11" ht="33.75" customHeight="1" thickBot="1" x14ac:dyDescent="0.25">
      <c r="A21" s="468"/>
      <c r="B21" s="1111" t="s">
        <v>41</v>
      </c>
      <c r="C21" s="1111"/>
      <c r="D21" s="474"/>
      <c r="E21" s="469"/>
      <c r="F21" s="475"/>
      <c r="G21" s="460"/>
      <c r="H21" s="476">
        <f>H20</f>
        <v>16500</v>
      </c>
    </row>
    <row r="22" spans="1:11" x14ac:dyDescent="0.2">
      <c r="A22" s="208"/>
      <c r="B22" s="208"/>
      <c r="C22" s="208"/>
      <c r="D22" s="208"/>
      <c r="E22" s="208"/>
      <c r="F22" s="208"/>
      <c r="G22" s="208"/>
      <c r="H22" s="208"/>
    </row>
    <row r="23" spans="1:11" ht="115.5" hidden="1" thickBot="1" x14ac:dyDescent="0.25">
      <c r="A23" s="94"/>
      <c r="B23" s="1102" t="s">
        <v>75</v>
      </c>
      <c r="C23" s="1103"/>
      <c r="D23" s="1104"/>
      <c r="E23" s="95" t="s">
        <v>125</v>
      </c>
      <c r="F23" s="372">
        <v>3.351</v>
      </c>
      <c r="G23" s="96" t="s">
        <v>78</v>
      </c>
      <c r="H23" s="97">
        <v>96508.800000000003</v>
      </c>
      <c r="J23" s="92" t="s">
        <v>120</v>
      </c>
      <c r="K23" s="92" t="s">
        <v>120</v>
      </c>
    </row>
    <row r="24" spans="1:11" ht="115.5" hidden="1" thickBot="1" x14ac:dyDescent="0.25">
      <c r="A24" s="98"/>
      <c r="B24" s="99" t="s">
        <v>64</v>
      </c>
      <c r="C24" s="100"/>
      <c r="D24" s="100"/>
      <c r="E24" s="100"/>
      <c r="F24" s="100"/>
      <c r="G24" s="100"/>
      <c r="H24" s="101">
        <v>96508.800000000003</v>
      </c>
      <c r="J24" s="92" t="s">
        <v>121</v>
      </c>
      <c r="K24" s="92" t="s">
        <v>121</v>
      </c>
    </row>
    <row r="25" spans="1:11" s="55" customFormat="1" ht="115.5" hidden="1" thickBot="1" x14ac:dyDescent="0.25">
      <c r="A25" s="102"/>
      <c r="B25" s="1105" t="s">
        <v>65</v>
      </c>
      <c r="C25" s="1106"/>
      <c r="D25" s="1107"/>
      <c r="E25" s="103" t="s">
        <v>126</v>
      </c>
      <c r="F25" s="104">
        <v>1</v>
      </c>
      <c r="G25" s="105" t="s">
        <v>79</v>
      </c>
      <c r="H25" s="106">
        <v>96508.800000000003</v>
      </c>
      <c r="I25" s="107"/>
      <c r="J25" s="92" t="s">
        <v>122</v>
      </c>
      <c r="K25" s="92" t="s">
        <v>122</v>
      </c>
    </row>
    <row r="26" spans="1:11" ht="115.5" hidden="1" thickBot="1" x14ac:dyDescent="0.25">
      <c r="A26" s="373"/>
      <c r="B26" s="108" t="s">
        <v>1</v>
      </c>
      <c r="C26" s="109"/>
      <c r="D26" s="109"/>
      <c r="E26" s="110"/>
      <c r="F26" s="111">
        <v>0.18</v>
      </c>
      <c r="G26" s="105" t="s">
        <v>80</v>
      </c>
      <c r="H26" s="106">
        <v>17371.580000000002</v>
      </c>
      <c r="I26" s="112"/>
      <c r="J26" s="92" t="s">
        <v>123</v>
      </c>
      <c r="K26" s="92" t="s">
        <v>123</v>
      </c>
    </row>
    <row r="27" spans="1:11" ht="115.5" hidden="1" thickBot="1" x14ac:dyDescent="0.25">
      <c r="A27" s="374"/>
      <c r="B27" s="108" t="s">
        <v>18</v>
      </c>
      <c r="C27" s="109"/>
      <c r="D27" s="109"/>
      <c r="E27" s="109"/>
      <c r="F27" s="109"/>
      <c r="G27" s="113"/>
      <c r="H27" s="97">
        <v>113880.38</v>
      </c>
      <c r="I27" s="112"/>
      <c r="J27" s="92" t="s">
        <v>124</v>
      </c>
      <c r="K27" s="92" t="s">
        <v>124</v>
      </c>
    </row>
    <row r="28" spans="1:11" s="3" customFormat="1" x14ac:dyDescent="0.2">
      <c r="D28" s="5"/>
      <c r="F28" s="6"/>
      <c r="H28" s="16"/>
    </row>
    <row r="29" spans="1:11" s="708" customFormat="1" ht="15" x14ac:dyDescent="0.2">
      <c r="A29" s="617"/>
      <c r="B29" s="704"/>
      <c r="C29" s="705"/>
      <c r="D29" s="706"/>
      <c r="E29" s="707"/>
    </row>
    <row r="30" spans="1:11" s="708" customFormat="1" ht="15" x14ac:dyDescent="0.2">
      <c r="A30" s="617"/>
      <c r="B30" s="704"/>
      <c r="C30" s="705"/>
      <c r="D30" s="706"/>
      <c r="E30" s="707"/>
    </row>
    <row r="31" spans="1:11" s="708" customFormat="1" ht="15" x14ac:dyDescent="0.2">
      <c r="A31" s="617"/>
      <c r="B31" s="704"/>
      <c r="C31" s="705"/>
      <c r="D31" s="706"/>
      <c r="E31" s="707"/>
    </row>
    <row r="32" spans="1:11" s="616" customFormat="1" ht="15" x14ac:dyDescent="0.2">
      <c r="A32" s="617"/>
      <c r="B32" s="490"/>
      <c r="C32" s="490"/>
      <c r="D32" s="490"/>
      <c r="H32" s="504"/>
    </row>
    <row r="33" spans="1:8" s="618" customFormat="1" ht="15" x14ac:dyDescent="0.2">
      <c r="A33" s="617"/>
      <c r="B33" s="502"/>
      <c r="C33" s="502"/>
      <c r="D33" s="502"/>
      <c r="F33" s="510"/>
      <c r="H33" s="504"/>
    </row>
    <row r="34" spans="1:8" s="618" customFormat="1" ht="15" x14ac:dyDescent="0.2">
      <c r="A34" s="617"/>
      <c r="B34" s="502"/>
      <c r="C34" s="502"/>
      <c r="D34" s="502"/>
      <c r="F34" s="510"/>
      <c r="H34" s="504"/>
    </row>
    <row r="35" spans="1:8" s="617" customFormat="1" ht="15" x14ac:dyDescent="0.2">
      <c r="A35" s="616"/>
      <c r="B35" s="490"/>
      <c r="C35" s="490"/>
      <c r="D35" s="490"/>
      <c r="H35" s="619"/>
    </row>
    <row r="36" spans="1:8" s="617" customFormat="1" ht="15" x14ac:dyDescent="0.2">
      <c r="A36" s="616"/>
      <c r="B36" s="490"/>
      <c r="C36" s="490"/>
      <c r="D36" s="490"/>
      <c r="H36" s="504"/>
    </row>
    <row r="37" spans="1:8" s="617" customFormat="1" ht="15" x14ac:dyDescent="0.2">
      <c r="A37" s="616"/>
      <c r="B37" s="710"/>
      <c r="C37" s="710"/>
      <c r="D37" s="711"/>
      <c r="E37" s="712"/>
    </row>
    <row r="38" spans="1:8" s="617" customFormat="1" ht="15" x14ac:dyDescent="0.2">
      <c r="A38" s="616"/>
      <c r="B38" s="710"/>
      <c r="C38" s="710"/>
      <c r="D38" s="711"/>
      <c r="E38" s="713"/>
    </row>
    <row r="39" spans="1:8" s="617" customFormat="1" ht="15" x14ac:dyDescent="0.2">
      <c r="A39" s="616"/>
      <c r="B39" s="710"/>
      <c r="C39" s="710"/>
      <c r="D39" s="711"/>
      <c r="E39" s="712"/>
    </row>
    <row r="40" spans="1:8" s="445" customFormat="1" ht="15" x14ac:dyDescent="0.2">
      <c r="A40" s="617"/>
      <c r="B40" s="704"/>
      <c r="C40" s="705"/>
      <c r="D40" s="706"/>
      <c r="E40" s="707"/>
    </row>
  </sheetData>
  <mergeCells count="13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topLeftCell="A20" zoomScale="70" zoomScaleNormal="100" zoomScaleSheetLayoutView="70" workbookViewId="0">
      <selection activeCell="B25" sqref="B25:H34"/>
    </sheetView>
  </sheetViews>
  <sheetFormatPr defaultRowHeight="15" x14ac:dyDescent="0.2"/>
  <cols>
    <col min="1" max="1" width="3.85546875" style="490" customWidth="1"/>
    <col min="2" max="2" width="28.5703125" style="490" customWidth="1"/>
    <col min="3" max="3" width="11.28515625" style="490" customWidth="1"/>
    <col min="4" max="4" width="12" style="492" customWidth="1"/>
    <col min="5" max="5" width="28.28515625" style="490" customWidth="1"/>
    <col min="6" max="6" width="7.28515625" style="493" customWidth="1"/>
    <col min="7" max="7" width="18.42578125" style="490" customWidth="1"/>
    <col min="8" max="8" width="16.85546875" style="503" customWidth="1"/>
    <col min="9" max="9" width="15" style="496" customWidth="1"/>
    <col min="10" max="10" width="47.42578125" style="490" customWidth="1"/>
    <col min="11" max="256" width="9.140625" style="490"/>
    <col min="257" max="257" width="3.85546875" style="490" customWidth="1"/>
    <col min="258" max="258" width="28.5703125" style="490" customWidth="1"/>
    <col min="259" max="259" width="11.28515625" style="490" customWidth="1"/>
    <col min="260" max="260" width="13.140625" style="490" customWidth="1"/>
    <col min="261" max="261" width="28.28515625" style="490" customWidth="1"/>
    <col min="262" max="262" width="7.28515625" style="490" customWidth="1"/>
    <col min="263" max="263" width="22.7109375" style="490" customWidth="1"/>
    <col min="264" max="264" width="16.85546875" style="490" customWidth="1"/>
    <col min="265" max="265" width="15" style="490" customWidth="1"/>
    <col min="266" max="266" width="47.42578125" style="490" customWidth="1"/>
    <col min="267" max="512" width="9.140625" style="490"/>
    <col min="513" max="513" width="3.85546875" style="490" customWidth="1"/>
    <col min="514" max="514" width="28.5703125" style="490" customWidth="1"/>
    <col min="515" max="515" width="11.28515625" style="490" customWidth="1"/>
    <col min="516" max="516" width="13.140625" style="490" customWidth="1"/>
    <col min="517" max="517" width="28.28515625" style="490" customWidth="1"/>
    <col min="518" max="518" width="7.28515625" style="490" customWidth="1"/>
    <col min="519" max="519" width="22.7109375" style="490" customWidth="1"/>
    <col min="520" max="520" width="16.85546875" style="490" customWidth="1"/>
    <col min="521" max="521" width="15" style="490" customWidth="1"/>
    <col min="522" max="522" width="47.42578125" style="490" customWidth="1"/>
    <col min="523" max="768" width="9.140625" style="490"/>
    <col min="769" max="769" width="3.85546875" style="490" customWidth="1"/>
    <col min="770" max="770" width="28.5703125" style="490" customWidth="1"/>
    <col min="771" max="771" width="11.28515625" style="490" customWidth="1"/>
    <col min="772" max="772" width="13.140625" style="490" customWidth="1"/>
    <col min="773" max="773" width="28.28515625" style="490" customWidth="1"/>
    <col min="774" max="774" width="7.28515625" style="490" customWidth="1"/>
    <col min="775" max="775" width="22.7109375" style="490" customWidth="1"/>
    <col min="776" max="776" width="16.85546875" style="490" customWidth="1"/>
    <col min="777" max="777" width="15" style="490" customWidth="1"/>
    <col min="778" max="778" width="47.42578125" style="490" customWidth="1"/>
    <col min="779" max="1024" width="9.140625" style="490"/>
    <col min="1025" max="1025" width="3.85546875" style="490" customWidth="1"/>
    <col min="1026" max="1026" width="28.5703125" style="490" customWidth="1"/>
    <col min="1027" max="1027" width="11.28515625" style="490" customWidth="1"/>
    <col min="1028" max="1028" width="13.140625" style="490" customWidth="1"/>
    <col min="1029" max="1029" width="28.28515625" style="490" customWidth="1"/>
    <col min="1030" max="1030" width="7.28515625" style="490" customWidth="1"/>
    <col min="1031" max="1031" width="22.7109375" style="490" customWidth="1"/>
    <col min="1032" max="1032" width="16.85546875" style="490" customWidth="1"/>
    <col min="1033" max="1033" width="15" style="490" customWidth="1"/>
    <col min="1034" max="1034" width="47.42578125" style="490" customWidth="1"/>
    <col min="1035" max="1280" width="9.140625" style="490"/>
    <col min="1281" max="1281" width="3.85546875" style="490" customWidth="1"/>
    <col min="1282" max="1282" width="28.5703125" style="490" customWidth="1"/>
    <col min="1283" max="1283" width="11.28515625" style="490" customWidth="1"/>
    <col min="1284" max="1284" width="13.140625" style="490" customWidth="1"/>
    <col min="1285" max="1285" width="28.28515625" style="490" customWidth="1"/>
    <col min="1286" max="1286" width="7.28515625" style="490" customWidth="1"/>
    <col min="1287" max="1287" width="22.7109375" style="490" customWidth="1"/>
    <col min="1288" max="1288" width="16.85546875" style="490" customWidth="1"/>
    <col min="1289" max="1289" width="15" style="490" customWidth="1"/>
    <col min="1290" max="1290" width="47.42578125" style="490" customWidth="1"/>
    <col min="1291" max="1536" width="9.140625" style="490"/>
    <col min="1537" max="1537" width="3.85546875" style="490" customWidth="1"/>
    <col min="1538" max="1538" width="28.5703125" style="490" customWidth="1"/>
    <col min="1539" max="1539" width="11.28515625" style="490" customWidth="1"/>
    <col min="1540" max="1540" width="13.140625" style="490" customWidth="1"/>
    <col min="1541" max="1541" width="28.28515625" style="490" customWidth="1"/>
    <col min="1542" max="1542" width="7.28515625" style="490" customWidth="1"/>
    <col min="1543" max="1543" width="22.7109375" style="490" customWidth="1"/>
    <col min="1544" max="1544" width="16.85546875" style="490" customWidth="1"/>
    <col min="1545" max="1545" width="15" style="490" customWidth="1"/>
    <col min="1546" max="1546" width="47.42578125" style="490" customWidth="1"/>
    <col min="1547" max="1792" width="9.140625" style="490"/>
    <col min="1793" max="1793" width="3.85546875" style="490" customWidth="1"/>
    <col min="1794" max="1794" width="28.5703125" style="490" customWidth="1"/>
    <col min="1795" max="1795" width="11.28515625" style="490" customWidth="1"/>
    <col min="1796" max="1796" width="13.140625" style="490" customWidth="1"/>
    <col min="1797" max="1797" width="28.28515625" style="490" customWidth="1"/>
    <col min="1798" max="1798" width="7.28515625" style="490" customWidth="1"/>
    <col min="1799" max="1799" width="22.7109375" style="490" customWidth="1"/>
    <col min="1800" max="1800" width="16.85546875" style="490" customWidth="1"/>
    <col min="1801" max="1801" width="15" style="490" customWidth="1"/>
    <col min="1802" max="1802" width="47.42578125" style="490" customWidth="1"/>
    <col min="1803" max="2048" width="9.140625" style="490"/>
    <col min="2049" max="2049" width="3.85546875" style="490" customWidth="1"/>
    <col min="2050" max="2050" width="28.5703125" style="490" customWidth="1"/>
    <col min="2051" max="2051" width="11.28515625" style="490" customWidth="1"/>
    <col min="2052" max="2052" width="13.140625" style="490" customWidth="1"/>
    <col min="2053" max="2053" width="28.28515625" style="490" customWidth="1"/>
    <col min="2054" max="2054" width="7.28515625" style="490" customWidth="1"/>
    <col min="2055" max="2055" width="22.7109375" style="490" customWidth="1"/>
    <col min="2056" max="2056" width="16.85546875" style="490" customWidth="1"/>
    <col min="2057" max="2057" width="15" style="490" customWidth="1"/>
    <col min="2058" max="2058" width="47.42578125" style="490" customWidth="1"/>
    <col min="2059" max="2304" width="9.140625" style="490"/>
    <col min="2305" max="2305" width="3.85546875" style="490" customWidth="1"/>
    <col min="2306" max="2306" width="28.5703125" style="490" customWidth="1"/>
    <col min="2307" max="2307" width="11.28515625" style="490" customWidth="1"/>
    <col min="2308" max="2308" width="13.140625" style="490" customWidth="1"/>
    <col min="2309" max="2309" width="28.28515625" style="490" customWidth="1"/>
    <col min="2310" max="2310" width="7.28515625" style="490" customWidth="1"/>
    <col min="2311" max="2311" width="22.7109375" style="490" customWidth="1"/>
    <col min="2312" max="2312" width="16.85546875" style="490" customWidth="1"/>
    <col min="2313" max="2313" width="15" style="490" customWidth="1"/>
    <col min="2314" max="2314" width="47.42578125" style="490" customWidth="1"/>
    <col min="2315" max="2560" width="9.140625" style="490"/>
    <col min="2561" max="2561" width="3.85546875" style="490" customWidth="1"/>
    <col min="2562" max="2562" width="28.5703125" style="490" customWidth="1"/>
    <col min="2563" max="2563" width="11.28515625" style="490" customWidth="1"/>
    <col min="2564" max="2564" width="13.140625" style="490" customWidth="1"/>
    <col min="2565" max="2565" width="28.28515625" style="490" customWidth="1"/>
    <col min="2566" max="2566" width="7.28515625" style="490" customWidth="1"/>
    <col min="2567" max="2567" width="22.7109375" style="490" customWidth="1"/>
    <col min="2568" max="2568" width="16.85546875" style="490" customWidth="1"/>
    <col min="2569" max="2569" width="15" style="490" customWidth="1"/>
    <col min="2570" max="2570" width="47.42578125" style="490" customWidth="1"/>
    <col min="2571" max="2816" width="9.140625" style="490"/>
    <col min="2817" max="2817" width="3.85546875" style="490" customWidth="1"/>
    <col min="2818" max="2818" width="28.5703125" style="490" customWidth="1"/>
    <col min="2819" max="2819" width="11.28515625" style="490" customWidth="1"/>
    <col min="2820" max="2820" width="13.140625" style="490" customWidth="1"/>
    <col min="2821" max="2821" width="28.28515625" style="490" customWidth="1"/>
    <col min="2822" max="2822" width="7.28515625" style="490" customWidth="1"/>
    <col min="2823" max="2823" width="22.7109375" style="490" customWidth="1"/>
    <col min="2824" max="2824" width="16.85546875" style="490" customWidth="1"/>
    <col min="2825" max="2825" width="15" style="490" customWidth="1"/>
    <col min="2826" max="2826" width="47.42578125" style="490" customWidth="1"/>
    <col min="2827" max="3072" width="9.140625" style="490"/>
    <col min="3073" max="3073" width="3.85546875" style="490" customWidth="1"/>
    <col min="3074" max="3074" width="28.5703125" style="490" customWidth="1"/>
    <col min="3075" max="3075" width="11.28515625" style="490" customWidth="1"/>
    <col min="3076" max="3076" width="13.140625" style="490" customWidth="1"/>
    <col min="3077" max="3077" width="28.28515625" style="490" customWidth="1"/>
    <col min="3078" max="3078" width="7.28515625" style="490" customWidth="1"/>
    <col min="3079" max="3079" width="22.7109375" style="490" customWidth="1"/>
    <col min="3080" max="3080" width="16.85546875" style="490" customWidth="1"/>
    <col min="3081" max="3081" width="15" style="490" customWidth="1"/>
    <col min="3082" max="3082" width="47.42578125" style="490" customWidth="1"/>
    <col min="3083" max="3328" width="9.140625" style="490"/>
    <col min="3329" max="3329" width="3.85546875" style="490" customWidth="1"/>
    <col min="3330" max="3330" width="28.5703125" style="490" customWidth="1"/>
    <col min="3331" max="3331" width="11.28515625" style="490" customWidth="1"/>
    <col min="3332" max="3332" width="13.140625" style="490" customWidth="1"/>
    <col min="3333" max="3333" width="28.28515625" style="490" customWidth="1"/>
    <col min="3334" max="3334" width="7.28515625" style="490" customWidth="1"/>
    <col min="3335" max="3335" width="22.7109375" style="490" customWidth="1"/>
    <col min="3336" max="3336" width="16.85546875" style="490" customWidth="1"/>
    <col min="3337" max="3337" width="15" style="490" customWidth="1"/>
    <col min="3338" max="3338" width="47.42578125" style="490" customWidth="1"/>
    <col min="3339" max="3584" width="9.140625" style="490"/>
    <col min="3585" max="3585" width="3.85546875" style="490" customWidth="1"/>
    <col min="3586" max="3586" width="28.5703125" style="490" customWidth="1"/>
    <col min="3587" max="3587" width="11.28515625" style="490" customWidth="1"/>
    <col min="3588" max="3588" width="13.140625" style="490" customWidth="1"/>
    <col min="3589" max="3589" width="28.28515625" style="490" customWidth="1"/>
    <col min="3590" max="3590" width="7.28515625" style="490" customWidth="1"/>
    <col min="3591" max="3591" width="22.7109375" style="490" customWidth="1"/>
    <col min="3592" max="3592" width="16.85546875" style="490" customWidth="1"/>
    <col min="3593" max="3593" width="15" style="490" customWidth="1"/>
    <col min="3594" max="3594" width="47.42578125" style="490" customWidth="1"/>
    <col min="3595" max="3840" width="9.140625" style="490"/>
    <col min="3841" max="3841" width="3.85546875" style="490" customWidth="1"/>
    <col min="3842" max="3842" width="28.5703125" style="490" customWidth="1"/>
    <col min="3843" max="3843" width="11.28515625" style="490" customWidth="1"/>
    <col min="3844" max="3844" width="13.140625" style="490" customWidth="1"/>
    <col min="3845" max="3845" width="28.28515625" style="490" customWidth="1"/>
    <col min="3846" max="3846" width="7.28515625" style="490" customWidth="1"/>
    <col min="3847" max="3847" width="22.7109375" style="490" customWidth="1"/>
    <col min="3848" max="3848" width="16.85546875" style="490" customWidth="1"/>
    <col min="3849" max="3849" width="15" style="490" customWidth="1"/>
    <col min="3850" max="3850" width="47.42578125" style="490" customWidth="1"/>
    <col min="3851" max="4096" width="9.140625" style="490"/>
    <col min="4097" max="4097" width="3.85546875" style="490" customWidth="1"/>
    <col min="4098" max="4098" width="28.5703125" style="490" customWidth="1"/>
    <col min="4099" max="4099" width="11.28515625" style="490" customWidth="1"/>
    <col min="4100" max="4100" width="13.140625" style="490" customWidth="1"/>
    <col min="4101" max="4101" width="28.28515625" style="490" customWidth="1"/>
    <col min="4102" max="4102" width="7.28515625" style="490" customWidth="1"/>
    <col min="4103" max="4103" width="22.7109375" style="490" customWidth="1"/>
    <col min="4104" max="4104" width="16.85546875" style="490" customWidth="1"/>
    <col min="4105" max="4105" width="15" style="490" customWidth="1"/>
    <col min="4106" max="4106" width="47.42578125" style="490" customWidth="1"/>
    <col min="4107" max="4352" width="9.140625" style="490"/>
    <col min="4353" max="4353" width="3.85546875" style="490" customWidth="1"/>
    <col min="4354" max="4354" width="28.5703125" style="490" customWidth="1"/>
    <col min="4355" max="4355" width="11.28515625" style="490" customWidth="1"/>
    <col min="4356" max="4356" width="13.140625" style="490" customWidth="1"/>
    <col min="4357" max="4357" width="28.28515625" style="490" customWidth="1"/>
    <col min="4358" max="4358" width="7.28515625" style="490" customWidth="1"/>
    <col min="4359" max="4359" width="22.7109375" style="490" customWidth="1"/>
    <col min="4360" max="4360" width="16.85546875" style="490" customWidth="1"/>
    <col min="4361" max="4361" width="15" style="490" customWidth="1"/>
    <col min="4362" max="4362" width="47.42578125" style="490" customWidth="1"/>
    <col min="4363" max="4608" width="9.140625" style="490"/>
    <col min="4609" max="4609" width="3.85546875" style="490" customWidth="1"/>
    <col min="4610" max="4610" width="28.5703125" style="490" customWidth="1"/>
    <col min="4611" max="4611" width="11.28515625" style="490" customWidth="1"/>
    <col min="4612" max="4612" width="13.140625" style="490" customWidth="1"/>
    <col min="4613" max="4613" width="28.28515625" style="490" customWidth="1"/>
    <col min="4614" max="4614" width="7.28515625" style="490" customWidth="1"/>
    <col min="4615" max="4615" width="22.7109375" style="490" customWidth="1"/>
    <col min="4616" max="4616" width="16.85546875" style="490" customWidth="1"/>
    <col min="4617" max="4617" width="15" style="490" customWidth="1"/>
    <col min="4618" max="4618" width="47.42578125" style="490" customWidth="1"/>
    <col min="4619" max="4864" width="9.140625" style="490"/>
    <col min="4865" max="4865" width="3.85546875" style="490" customWidth="1"/>
    <col min="4866" max="4866" width="28.5703125" style="490" customWidth="1"/>
    <col min="4867" max="4867" width="11.28515625" style="490" customWidth="1"/>
    <col min="4868" max="4868" width="13.140625" style="490" customWidth="1"/>
    <col min="4869" max="4869" width="28.28515625" style="490" customWidth="1"/>
    <col min="4870" max="4870" width="7.28515625" style="490" customWidth="1"/>
    <col min="4871" max="4871" width="22.7109375" style="490" customWidth="1"/>
    <col min="4872" max="4872" width="16.85546875" style="490" customWidth="1"/>
    <col min="4873" max="4873" width="15" style="490" customWidth="1"/>
    <col min="4874" max="4874" width="47.42578125" style="490" customWidth="1"/>
    <col min="4875" max="5120" width="9.140625" style="490"/>
    <col min="5121" max="5121" width="3.85546875" style="490" customWidth="1"/>
    <col min="5122" max="5122" width="28.5703125" style="490" customWidth="1"/>
    <col min="5123" max="5123" width="11.28515625" style="490" customWidth="1"/>
    <col min="5124" max="5124" width="13.140625" style="490" customWidth="1"/>
    <col min="5125" max="5125" width="28.28515625" style="490" customWidth="1"/>
    <col min="5126" max="5126" width="7.28515625" style="490" customWidth="1"/>
    <col min="5127" max="5127" width="22.7109375" style="490" customWidth="1"/>
    <col min="5128" max="5128" width="16.85546875" style="490" customWidth="1"/>
    <col min="5129" max="5129" width="15" style="490" customWidth="1"/>
    <col min="5130" max="5130" width="47.42578125" style="490" customWidth="1"/>
    <col min="5131" max="5376" width="9.140625" style="490"/>
    <col min="5377" max="5377" width="3.85546875" style="490" customWidth="1"/>
    <col min="5378" max="5378" width="28.5703125" style="490" customWidth="1"/>
    <col min="5379" max="5379" width="11.28515625" style="490" customWidth="1"/>
    <col min="5380" max="5380" width="13.140625" style="490" customWidth="1"/>
    <col min="5381" max="5381" width="28.28515625" style="490" customWidth="1"/>
    <col min="5382" max="5382" width="7.28515625" style="490" customWidth="1"/>
    <col min="5383" max="5383" width="22.7109375" style="490" customWidth="1"/>
    <col min="5384" max="5384" width="16.85546875" style="490" customWidth="1"/>
    <col min="5385" max="5385" width="15" style="490" customWidth="1"/>
    <col min="5386" max="5386" width="47.42578125" style="490" customWidth="1"/>
    <col min="5387" max="5632" width="9.140625" style="490"/>
    <col min="5633" max="5633" width="3.85546875" style="490" customWidth="1"/>
    <col min="5634" max="5634" width="28.5703125" style="490" customWidth="1"/>
    <col min="5635" max="5635" width="11.28515625" style="490" customWidth="1"/>
    <col min="5636" max="5636" width="13.140625" style="490" customWidth="1"/>
    <col min="5637" max="5637" width="28.28515625" style="490" customWidth="1"/>
    <col min="5638" max="5638" width="7.28515625" style="490" customWidth="1"/>
    <col min="5639" max="5639" width="22.7109375" style="490" customWidth="1"/>
    <col min="5640" max="5640" width="16.85546875" style="490" customWidth="1"/>
    <col min="5641" max="5641" width="15" style="490" customWidth="1"/>
    <col min="5642" max="5642" width="47.42578125" style="490" customWidth="1"/>
    <col min="5643" max="5888" width="9.140625" style="490"/>
    <col min="5889" max="5889" width="3.85546875" style="490" customWidth="1"/>
    <col min="5890" max="5890" width="28.5703125" style="490" customWidth="1"/>
    <col min="5891" max="5891" width="11.28515625" style="490" customWidth="1"/>
    <col min="5892" max="5892" width="13.140625" style="490" customWidth="1"/>
    <col min="5893" max="5893" width="28.28515625" style="490" customWidth="1"/>
    <col min="5894" max="5894" width="7.28515625" style="490" customWidth="1"/>
    <col min="5895" max="5895" width="22.7109375" style="490" customWidth="1"/>
    <col min="5896" max="5896" width="16.85546875" style="490" customWidth="1"/>
    <col min="5897" max="5897" width="15" style="490" customWidth="1"/>
    <col min="5898" max="5898" width="47.42578125" style="490" customWidth="1"/>
    <col min="5899" max="6144" width="9.140625" style="490"/>
    <col min="6145" max="6145" width="3.85546875" style="490" customWidth="1"/>
    <col min="6146" max="6146" width="28.5703125" style="490" customWidth="1"/>
    <col min="6147" max="6147" width="11.28515625" style="490" customWidth="1"/>
    <col min="6148" max="6148" width="13.140625" style="490" customWidth="1"/>
    <col min="6149" max="6149" width="28.28515625" style="490" customWidth="1"/>
    <col min="6150" max="6150" width="7.28515625" style="490" customWidth="1"/>
    <col min="6151" max="6151" width="22.7109375" style="490" customWidth="1"/>
    <col min="6152" max="6152" width="16.85546875" style="490" customWidth="1"/>
    <col min="6153" max="6153" width="15" style="490" customWidth="1"/>
    <col min="6154" max="6154" width="47.42578125" style="490" customWidth="1"/>
    <col min="6155" max="6400" width="9.140625" style="490"/>
    <col min="6401" max="6401" width="3.85546875" style="490" customWidth="1"/>
    <col min="6402" max="6402" width="28.5703125" style="490" customWidth="1"/>
    <col min="6403" max="6403" width="11.28515625" style="490" customWidth="1"/>
    <col min="6404" max="6404" width="13.140625" style="490" customWidth="1"/>
    <col min="6405" max="6405" width="28.28515625" style="490" customWidth="1"/>
    <col min="6406" max="6406" width="7.28515625" style="490" customWidth="1"/>
    <col min="6407" max="6407" width="22.7109375" style="490" customWidth="1"/>
    <col min="6408" max="6408" width="16.85546875" style="490" customWidth="1"/>
    <col min="6409" max="6409" width="15" style="490" customWidth="1"/>
    <col min="6410" max="6410" width="47.42578125" style="490" customWidth="1"/>
    <col min="6411" max="6656" width="9.140625" style="490"/>
    <col min="6657" max="6657" width="3.85546875" style="490" customWidth="1"/>
    <col min="6658" max="6658" width="28.5703125" style="490" customWidth="1"/>
    <col min="6659" max="6659" width="11.28515625" style="490" customWidth="1"/>
    <col min="6660" max="6660" width="13.140625" style="490" customWidth="1"/>
    <col min="6661" max="6661" width="28.28515625" style="490" customWidth="1"/>
    <col min="6662" max="6662" width="7.28515625" style="490" customWidth="1"/>
    <col min="6663" max="6663" width="22.7109375" style="490" customWidth="1"/>
    <col min="6664" max="6664" width="16.85546875" style="490" customWidth="1"/>
    <col min="6665" max="6665" width="15" style="490" customWidth="1"/>
    <col min="6666" max="6666" width="47.42578125" style="490" customWidth="1"/>
    <col min="6667" max="6912" width="9.140625" style="490"/>
    <col min="6913" max="6913" width="3.85546875" style="490" customWidth="1"/>
    <col min="6914" max="6914" width="28.5703125" style="490" customWidth="1"/>
    <col min="6915" max="6915" width="11.28515625" style="490" customWidth="1"/>
    <col min="6916" max="6916" width="13.140625" style="490" customWidth="1"/>
    <col min="6917" max="6917" width="28.28515625" style="490" customWidth="1"/>
    <col min="6918" max="6918" width="7.28515625" style="490" customWidth="1"/>
    <col min="6919" max="6919" width="22.7109375" style="490" customWidth="1"/>
    <col min="6920" max="6920" width="16.85546875" style="490" customWidth="1"/>
    <col min="6921" max="6921" width="15" style="490" customWidth="1"/>
    <col min="6922" max="6922" width="47.42578125" style="490" customWidth="1"/>
    <col min="6923" max="7168" width="9.140625" style="490"/>
    <col min="7169" max="7169" width="3.85546875" style="490" customWidth="1"/>
    <col min="7170" max="7170" width="28.5703125" style="490" customWidth="1"/>
    <col min="7171" max="7171" width="11.28515625" style="490" customWidth="1"/>
    <col min="7172" max="7172" width="13.140625" style="490" customWidth="1"/>
    <col min="7173" max="7173" width="28.28515625" style="490" customWidth="1"/>
    <col min="7174" max="7174" width="7.28515625" style="490" customWidth="1"/>
    <col min="7175" max="7175" width="22.7109375" style="490" customWidth="1"/>
    <col min="7176" max="7176" width="16.85546875" style="490" customWidth="1"/>
    <col min="7177" max="7177" width="15" style="490" customWidth="1"/>
    <col min="7178" max="7178" width="47.42578125" style="490" customWidth="1"/>
    <col min="7179" max="7424" width="9.140625" style="490"/>
    <col min="7425" max="7425" width="3.85546875" style="490" customWidth="1"/>
    <col min="7426" max="7426" width="28.5703125" style="490" customWidth="1"/>
    <col min="7427" max="7427" width="11.28515625" style="490" customWidth="1"/>
    <col min="7428" max="7428" width="13.140625" style="490" customWidth="1"/>
    <col min="7429" max="7429" width="28.28515625" style="490" customWidth="1"/>
    <col min="7430" max="7430" width="7.28515625" style="490" customWidth="1"/>
    <col min="7431" max="7431" width="22.7109375" style="490" customWidth="1"/>
    <col min="7432" max="7432" width="16.85546875" style="490" customWidth="1"/>
    <col min="7433" max="7433" width="15" style="490" customWidth="1"/>
    <col min="7434" max="7434" width="47.42578125" style="490" customWidth="1"/>
    <col min="7435" max="7680" width="9.140625" style="490"/>
    <col min="7681" max="7681" width="3.85546875" style="490" customWidth="1"/>
    <col min="7682" max="7682" width="28.5703125" style="490" customWidth="1"/>
    <col min="7683" max="7683" width="11.28515625" style="490" customWidth="1"/>
    <col min="7684" max="7684" width="13.140625" style="490" customWidth="1"/>
    <col min="7685" max="7685" width="28.28515625" style="490" customWidth="1"/>
    <col min="7686" max="7686" width="7.28515625" style="490" customWidth="1"/>
    <col min="7687" max="7687" width="22.7109375" style="490" customWidth="1"/>
    <col min="7688" max="7688" width="16.85546875" style="490" customWidth="1"/>
    <col min="7689" max="7689" width="15" style="490" customWidth="1"/>
    <col min="7690" max="7690" width="47.42578125" style="490" customWidth="1"/>
    <col min="7691" max="7936" width="9.140625" style="490"/>
    <col min="7937" max="7937" width="3.85546875" style="490" customWidth="1"/>
    <col min="7938" max="7938" width="28.5703125" style="490" customWidth="1"/>
    <col min="7939" max="7939" width="11.28515625" style="490" customWidth="1"/>
    <col min="7940" max="7940" width="13.140625" style="490" customWidth="1"/>
    <col min="7941" max="7941" width="28.28515625" style="490" customWidth="1"/>
    <col min="7942" max="7942" width="7.28515625" style="490" customWidth="1"/>
    <col min="7943" max="7943" width="22.7109375" style="490" customWidth="1"/>
    <col min="7944" max="7944" width="16.85546875" style="490" customWidth="1"/>
    <col min="7945" max="7945" width="15" style="490" customWidth="1"/>
    <col min="7946" max="7946" width="47.42578125" style="490" customWidth="1"/>
    <col min="7947" max="8192" width="9.140625" style="490"/>
    <col min="8193" max="8193" width="3.85546875" style="490" customWidth="1"/>
    <col min="8194" max="8194" width="28.5703125" style="490" customWidth="1"/>
    <col min="8195" max="8195" width="11.28515625" style="490" customWidth="1"/>
    <col min="8196" max="8196" width="13.140625" style="490" customWidth="1"/>
    <col min="8197" max="8197" width="28.28515625" style="490" customWidth="1"/>
    <col min="8198" max="8198" width="7.28515625" style="490" customWidth="1"/>
    <col min="8199" max="8199" width="22.7109375" style="490" customWidth="1"/>
    <col min="8200" max="8200" width="16.85546875" style="490" customWidth="1"/>
    <col min="8201" max="8201" width="15" style="490" customWidth="1"/>
    <col min="8202" max="8202" width="47.42578125" style="490" customWidth="1"/>
    <col min="8203" max="8448" width="9.140625" style="490"/>
    <col min="8449" max="8449" width="3.85546875" style="490" customWidth="1"/>
    <col min="8450" max="8450" width="28.5703125" style="490" customWidth="1"/>
    <col min="8451" max="8451" width="11.28515625" style="490" customWidth="1"/>
    <col min="8452" max="8452" width="13.140625" style="490" customWidth="1"/>
    <col min="8453" max="8453" width="28.28515625" style="490" customWidth="1"/>
    <col min="8454" max="8454" width="7.28515625" style="490" customWidth="1"/>
    <col min="8455" max="8455" width="22.7109375" style="490" customWidth="1"/>
    <col min="8456" max="8456" width="16.85546875" style="490" customWidth="1"/>
    <col min="8457" max="8457" width="15" style="490" customWidth="1"/>
    <col min="8458" max="8458" width="47.42578125" style="490" customWidth="1"/>
    <col min="8459" max="8704" width="9.140625" style="490"/>
    <col min="8705" max="8705" width="3.85546875" style="490" customWidth="1"/>
    <col min="8706" max="8706" width="28.5703125" style="490" customWidth="1"/>
    <col min="8707" max="8707" width="11.28515625" style="490" customWidth="1"/>
    <col min="8708" max="8708" width="13.140625" style="490" customWidth="1"/>
    <col min="8709" max="8709" width="28.28515625" style="490" customWidth="1"/>
    <col min="8710" max="8710" width="7.28515625" style="490" customWidth="1"/>
    <col min="8711" max="8711" width="22.7109375" style="490" customWidth="1"/>
    <col min="8712" max="8712" width="16.85546875" style="490" customWidth="1"/>
    <col min="8713" max="8713" width="15" style="490" customWidth="1"/>
    <col min="8714" max="8714" width="47.42578125" style="490" customWidth="1"/>
    <col min="8715" max="8960" width="9.140625" style="490"/>
    <col min="8961" max="8961" width="3.85546875" style="490" customWidth="1"/>
    <col min="8962" max="8962" width="28.5703125" style="490" customWidth="1"/>
    <col min="8963" max="8963" width="11.28515625" style="490" customWidth="1"/>
    <col min="8964" max="8964" width="13.140625" style="490" customWidth="1"/>
    <col min="8965" max="8965" width="28.28515625" style="490" customWidth="1"/>
    <col min="8966" max="8966" width="7.28515625" style="490" customWidth="1"/>
    <col min="8967" max="8967" width="22.7109375" style="490" customWidth="1"/>
    <col min="8968" max="8968" width="16.85546875" style="490" customWidth="1"/>
    <col min="8969" max="8969" width="15" style="490" customWidth="1"/>
    <col min="8970" max="8970" width="47.42578125" style="490" customWidth="1"/>
    <col min="8971" max="9216" width="9.140625" style="490"/>
    <col min="9217" max="9217" width="3.85546875" style="490" customWidth="1"/>
    <col min="9218" max="9218" width="28.5703125" style="490" customWidth="1"/>
    <col min="9219" max="9219" width="11.28515625" style="490" customWidth="1"/>
    <col min="9220" max="9220" width="13.140625" style="490" customWidth="1"/>
    <col min="9221" max="9221" width="28.28515625" style="490" customWidth="1"/>
    <col min="9222" max="9222" width="7.28515625" style="490" customWidth="1"/>
    <col min="9223" max="9223" width="22.7109375" style="490" customWidth="1"/>
    <col min="9224" max="9224" width="16.85546875" style="490" customWidth="1"/>
    <col min="9225" max="9225" width="15" style="490" customWidth="1"/>
    <col min="9226" max="9226" width="47.42578125" style="490" customWidth="1"/>
    <col min="9227" max="9472" width="9.140625" style="490"/>
    <col min="9473" max="9473" width="3.85546875" style="490" customWidth="1"/>
    <col min="9474" max="9474" width="28.5703125" style="490" customWidth="1"/>
    <col min="9475" max="9475" width="11.28515625" style="490" customWidth="1"/>
    <col min="9476" max="9476" width="13.140625" style="490" customWidth="1"/>
    <col min="9477" max="9477" width="28.28515625" style="490" customWidth="1"/>
    <col min="9478" max="9478" width="7.28515625" style="490" customWidth="1"/>
    <col min="9479" max="9479" width="22.7109375" style="490" customWidth="1"/>
    <col min="9480" max="9480" width="16.85546875" style="490" customWidth="1"/>
    <col min="9481" max="9481" width="15" style="490" customWidth="1"/>
    <col min="9482" max="9482" width="47.42578125" style="490" customWidth="1"/>
    <col min="9483" max="9728" width="9.140625" style="490"/>
    <col min="9729" max="9729" width="3.85546875" style="490" customWidth="1"/>
    <col min="9730" max="9730" width="28.5703125" style="490" customWidth="1"/>
    <col min="9731" max="9731" width="11.28515625" style="490" customWidth="1"/>
    <col min="9732" max="9732" width="13.140625" style="490" customWidth="1"/>
    <col min="9733" max="9733" width="28.28515625" style="490" customWidth="1"/>
    <col min="9734" max="9734" width="7.28515625" style="490" customWidth="1"/>
    <col min="9735" max="9735" width="22.7109375" style="490" customWidth="1"/>
    <col min="9736" max="9736" width="16.85546875" style="490" customWidth="1"/>
    <col min="9737" max="9737" width="15" style="490" customWidth="1"/>
    <col min="9738" max="9738" width="47.42578125" style="490" customWidth="1"/>
    <col min="9739" max="9984" width="9.140625" style="490"/>
    <col min="9985" max="9985" width="3.85546875" style="490" customWidth="1"/>
    <col min="9986" max="9986" width="28.5703125" style="490" customWidth="1"/>
    <col min="9987" max="9987" width="11.28515625" style="490" customWidth="1"/>
    <col min="9988" max="9988" width="13.140625" style="490" customWidth="1"/>
    <col min="9989" max="9989" width="28.28515625" style="490" customWidth="1"/>
    <col min="9990" max="9990" width="7.28515625" style="490" customWidth="1"/>
    <col min="9991" max="9991" width="22.7109375" style="490" customWidth="1"/>
    <col min="9992" max="9992" width="16.85546875" style="490" customWidth="1"/>
    <col min="9993" max="9993" width="15" style="490" customWidth="1"/>
    <col min="9994" max="9994" width="47.42578125" style="490" customWidth="1"/>
    <col min="9995" max="10240" width="9.140625" style="490"/>
    <col min="10241" max="10241" width="3.85546875" style="490" customWidth="1"/>
    <col min="10242" max="10242" width="28.5703125" style="490" customWidth="1"/>
    <col min="10243" max="10243" width="11.28515625" style="490" customWidth="1"/>
    <col min="10244" max="10244" width="13.140625" style="490" customWidth="1"/>
    <col min="10245" max="10245" width="28.28515625" style="490" customWidth="1"/>
    <col min="10246" max="10246" width="7.28515625" style="490" customWidth="1"/>
    <col min="10247" max="10247" width="22.7109375" style="490" customWidth="1"/>
    <col min="10248" max="10248" width="16.85546875" style="490" customWidth="1"/>
    <col min="10249" max="10249" width="15" style="490" customWidth="1"/>
    <col min="10250" max="10250" width="47.42578125" style="490" customWidth="1"/>
    <col min="10251" max="10496" width="9.140625" style="490"/>
    <col min="10497" max="10497" width="3.85546875" style="490" customWidth="1"/>
    <col min="10498" max="10498" width="28.5703125" style="490" customWidth="1"/>
    <col min="10499" max="10499" width="11.28515625" style="490" customWidth="1"/>
    <col min="10500" max="10500" width="13.140625" style="490" customWidth="1"/>
    <col min="10501" max="10501" width="28.28515625" style="490" customWidth="1"/>
    <col min="10502" max="10502" width="7.28515625" style="490" customWidth="1"/>
    <col min="10503" max="10503" width="22.7109375" style="490" customWidth="1"/>
    <col min="10504" max="10504" width="16.85546875" style="490" customWidth="1"/>
    <col min="10505" max="10505" width="15" style="490" customWidth="1"/>
    <col min="10506" max="10506" width="47.42578125" style="490" customWidth="1"/>
    <col min="10507" max="10752" width="9.140625" style="490"/>
    <col min="10753" max="10753" width="3.85546875" style="490" customWidth="1"/>
    <col min="10754" max="10754" width="28.5703125" style="490" customWidth="1"/>
    <col min="10755" max="10755" width="11.28515625" style="490" customWidth="1"/>
    <col min="10756" max="10756" width="13.140625" style="490" customWidth="1"/>
    <col min="10757" max="10757" width="28.28515625" style="490" customWidth="1"/>
    <col min="10758" max="10758" width="7.28515625" style="490" customWidth="1"/>
    <col min="10759" max="10759" width="22.7109375" style="490" customWidth="1"/>
    <col min="10760" max="10760" width="16.85546875" style="490" customWidth="1"/>
    <col min="10761" max="10761" width="15" style="490" customWidth="1"/>
    <col min="10762" max="10762" width="47.42578125" style="490" customWidth="1"/>
    <col min="10763" max="11008" width="9.140625" style="490"/>
    <col min="11009" max="11009" width="3.85546875" style="490" customWidth="1"/>
    <col min="11010" max="11010" width="28.5703125" style="490" customWidth="1"/>
    <col min="11011" max="11011" width="11.28515625" style="490" customWidth="1"/>
    <col min="11012" max="11012" width="13.140625" style="490" customWidth="1"/>
    <col min="11013" max="11013" width="28.28515625" style="490" customWidth="1"/>
    <col min="11014" max="11014" width="7.28515625" style="490" customWidth="1"/>
    <col min="11015" max="11015" width="22.7109375" style="490" customWidth="1"/>
    <col min="11016" max="11016" width="16.85546875" style="490" customWidth="1"/>
    <col min="11017" max="11017" width="15" style="490" customWidth="1"/>
    <col min="11018" max="11018" width="47.42578125" style="490" customWidth="1"/>
    <col min="11019" max="11264" width="9.140625" style="490"/>
    <col min="11265" max="11265" width="3.85546875" style="490" customWidth="1"/>
    <col min="11266" max="11266" width="28.5703125" style="490" customWidth="1"/>
    <col min="11267" max="11267" width="11.28515625" style="490" customWidth="1"/>
    <col min="11268" max="11268" width="13.140625" style="490" customWidth="1"/>
    <col min="11269" max="11269" width="28.28515625" style="490" customWidth="1"/>
    <col min="11270" max="11270" width="7.28515625" style="490" customWidth="1"/>
    <col min="11271" max="11271" width="22.7109375" style="490" customWidth="1"/>
    <col min="11272" max="11272" width="16.85546875" style="490" customWidth="1"/>
    <col min="11273" max="11273" width="15" style="490" customWidth="1"/>
    <col min="11274" max="11274" width="47.42578125" style="490" customWidth="1"/>
    <col min="11275" max="11520" width="9.140625" style="490"/>
    <col min="11521" max="11521" width="3.85546875" style="490" customWidth="1"/>
    <col min="11522" max="11522" width="28.5703125" style="490" customWidth="1"/>
    <col min="11523" max="11523" width="11.28515625" style="490" customWidth="1"/>
    <col min="11524" max="11524" width="13.140625" style="490" customWidth="1"/>
    <col min="11525" max="11525" width="28.28515625" style="490" customWidth="1"/>
    <col min="11526" max="11526" width="7.28515625" style="490" customWidth="1"/>
    <col min="11527" max="11527" width="22.7109375" style="490" customWidth="1"/>
    <col min="11528" max="11528" width="16.85546875" style="490" customWidth="1"/>
    <col min="11529" max="11529" width="15" style="490" customWidth="1"/>
    <col min="11530" max="11530" width="47.42578125" style="490" customWidth="1"/>
    <col min="11531" max="11776" width="9.140625" style="490"/>
    <col min="11777" max="11777" width="3.85546875" style="490" customWidth="1"/>
    <col min="11778" max="11778" width="28.5703125" style="490" customWidth="1"/>
    <col min="11779" max="11779" width="11.28515625" style="490" customWidth="1"/>
    <col min="11780" max="11780" width="13.140625" style="490" customWidth="1"/>
    <col min="11781" max="11781" width="28.28515625" style="490" customWidth="1"/>
    <col min="11782" max="11782" width="7.28515625" style="490" customWidth="1"/>
    <col min="11783" max="11783" width="22.7109375" style="490" customWidth="1"/>
    <col min="11784" max="11784" width="16.85546875" style="490" customWidth="1"/>
    <col min="11785" max="11785" width="15" style="490" customWidth="1"/>
    <col min="11786" max="11786" width="47.42578125" style="490" customWidth="1"/>
    <col min="11787" max="12032" width="9.140625" style="490"/>
    <col min="12033" max="12033" width="3.85546875" style="490" customWidth="1"/>
    <col min="12034" max="12034" width="28.5703125" style="490" customWidth="1"/>
    <col min="12035" max="12035" width="11.28515625" style="490" customWidth="1"/>
    <col min="12036" max="12036" width="13.140625" style="490" customWidth="1"/>
    <col min="12037" max="12037" width="28.28515625" style="490" customWidth="1"/>
    <col min="12038" max="12038" width="7.28515625" style="490" customWidth="1"/>
    <col min="12039" max="12039" width="22.7109375" style="490" customWidth="1"/>
    <col min="12040" max="12040" width="16.85546875" style="490" customWidth="1"/>
    <col min="12041" max="12041" width="15" style="490" customWidth="1"/>
    <col min="12042" max="12042" width="47.42578125" style="490" customWidth="1"/>
    <col min="12043" max="12288" width="9.140625" style="490"/>
    <col min="12289" max="12289" width="3.85546875" style="490" customWidth="1"/>
    <col min="12290" max="12290" width="28.5703125" style="490" customWidth="1"/>
    <col min="12291" max="12291" width="11.28515625" style="490" customWidth="1"/>
    <col min="12292" max="12292" width="13.140625" style="490" customWidth="1"/>
    <col min="12293" max="12293" width="28.28515625" style="490" customWidth="1"/>
    <col min="12294" max="12294" width="7.28515625" style="490" customWidth="1"/>
    <col min="12295" max="12295" width="22.7109375" style="490" customWidth="1"/>
    <col min="12296" max="12296" width="16.85546875" style="490" customWidth="1"/>
    <col min="12297" max="12297" width="15" style="490" customWidth="1"/>
    <col min="12298" max="12298" width="47.42578125" style="490" customWidth="1"/>
    <col min="12299" max="12544" width="9.140625" style="490"/>
    <col min="12545" max="12545" width="3.85546875" style="490" customWidth="1"/>
    <col min="12546" max="12546" width="28.5703125" style="490" customWidth="1"/>
    <col min="12547" max="12547" width="11.28515625" style="490" customWidth="1"/>
    <col min="12548" max="12548" width="13.140625" style="490" customWidth="1"/>
    <col min="12549" max="12549" width="28.28515625" style="490" customWidth="1"/>
    <col min="12550" max="12550" width="7.28515625" style="490" customWidth="1"/>
    <col min="12551" max="12551" width="22.7109375" style="490" customWidth="1"/>
    <col min="12552" max="12552" width="16.85546875" style="490" customWidth="1"/>
    <col min="12553" max="12553" width="15" style="490" customWidth="1"/>
    <col min="12554" max="12554" width="47.42578125" style="490" customWidth="1"/>
    <col min="12555" max="12800" width="9.140625" style="490"/>
    <col min="12801" max="12801" width="3.85546875" style="490" customWidth="1"/>
    <col min="12802" max="12802" width="28.5703125" style="490" customWidth="1"/>
    <col min="12803" max="12803" width="11.28515625" style="490" customWidth="1"/>
    <col min="12804" max="12804" width="13.140625" style="490" customWidth="1"/>
    <col min="12805" max="12805" width="28.28515625" style="490" customWidth="1"/>
    <col min="12806" max="12806" width="7.28515625" style="490" customWidth="1"/>
    <col min="12807" max="12807" width="22.7109375" style="490" customWidth="1"/>
    <col min="12808" max="12808" width="16.85546875" style="490" customWidth="1"/>
    <col min="12809" max="12809" width="15" style="490" customWidth="1"/>
    <col min="12810" max="12810" width="47.42578125" style="490" customWidth="1"/>
    <col min="12811" max="13056" width="9.140625" style="490"/>
    <col min="13057" max="13057" width="3.85546875" style="490" customWidth="1"/>
    <col min="13058" max="13058" width="28.5703125" style="490" customWidth="1"/>
    <col min="13059" max="13059" width="11.28515625" style="490" customWidth="1"/>
    <col min="13060" max="13060" width="13.140625" style="490" customWidth="1"/>
    <col min="13061" max="13061" width="28.28515625" style="490" customWidth="1"/>
    <col min="13062" max="13062" width="7.28515625" style="490" customWidth="1"/>
    <col min="13063" max="13063" width="22.7109375" style="490" customWidth="1"/>
    <col min="13064" max="13064" width="16.85546875" style="490" customWidth="1"/>
    <col min="13065" max="13065" width="15" style="490" customWidth="1"/>
    <col min="13066" max="13066" width="47.42578125" style="490" customWidth="1"/>
    <col min="13067" max="13312" width="9.140625" style="490"/>
    <col min="13313" max="13313" width="3.85546875" style="490" customWidth="1"/>
    <col min="13314" max="13314" width="28.5703125" style="490" customWidth="1"/>
    <col min="13315" max="13315" width="11.28515625" style="490" customWidth="1"/>
    <col min="13316" max="13316" width="13.140625" style="490" customWidth="1"/>
    <col min="13317" max="13317" width="28.28515625" style="490" customWidth="1"/>
    <col min="13318" max="13318" width="7.28515625" style="490" customWidth="1"/>
    <col min="13319" max="13319" width="22.7109375" style="490" customWidth="1"/>
    <col min="13320" max="13320" width="16.85546875" style="490" customWidth="1"/>
    <col min="13321" max="13321" width="15" style="490" customWidth="1"/>
    <col min="13322" max="13322" width="47.42578125" style="490" customWidth="1"/>
    <col min="13323" max="13568" width="9.140625" style="490"/>
    <col min="13569" max="13569" width="3.85546875" style="490" customWidth="1"/>
    <col min="13570" max="13570" width="28.5703125" style="490" customWidth="1"/>
    <col min="13571" max="13571" width="11.28515625" style="490" customWidth="1"/>
    <col min="13572" max="13572" width="13.140625" style="490" customWidth="1"/>
    <col min="13573" max="13573" width="28.28515625" style="490" customWidth="1"/>
    <col min="13574" max="13574" width="7.28515625" style="490" customWidth="1"/>
    <col min="13575" max="13575" width="22.7109375" style="490" customWidth="1"/>
    <col min="13576" max="13576" width="16.85546875" style="490" customWidth="1"/>
    <col min="13577" max="13577" width="15" style="490" customWidth="1"/>
    <col min="13578" max="13578" width="47.42578125" style="490" customWidth="1"/>
    <col min="13579" max="13824" width="9.140625" style="490"/>
    <col min="13825" max="13825" width="3.85546875" style="490" customWidth="1"/>
    <col min="13826" max="13826" width="28.5703125" style="490" customWidth="1"/>
    <col min="13827" max="13827" width="11.28515625" style="490" customWidth="1"/>
    <col min="13828" max="13828" width="13.140625" style="490" customWidth="1"/>
    <col min="13829" max="13829" width="28.28515625" style="490" customWidth="1"/>
    <col min="13830" max="13830" width="7.28515625" style="490" customWidth="1"/>
    <col min="13831" max="13831" width="22.7109375" style="490" customWidth="1"/>
    <col min="13832" max="13832" width="16.85546875" style="490" customWidth="1"/>
    <col min="13833" max="13833" width="15" style="490" customWidth="1"/>
    <col min="13834" max="13834" width="47.42578125" style="490" customWidth="1"/>
    <col min="13835" max="14080" width="9.140625" style="490"/>
    <col min="14081" max="14081" width="3.85546875" style="490" customWidth="1"/>
    <col min="14082" max="14082" width="28.5703125" style="490" customWidth="1"/>
    <col min="14083" max="14083" width="11.28515625" style="490" customWidth="1"/>
    <col min="14084" max="14084" width="13.140625" style="490" customWidth="1"/>
    <col min="14085" max="14085" width="28.28515625" style="490" customWidth="1"/>
    <col min="14086" max="14086" width="7.28515625" style="490" customWidth="1"/>
    <col min="14087" max="14087" width="22.7109375" style="490" customWidth="1"/>
    <col min="14088" max="14088" width="16.85546875" style="490" customWidth="1"/>
    <col min="14089" max="14089" width="15" style="490" customWidth="1"/>
    <col min="14090" max="14090" width="47.42578125" style="490" customWidth="1"/>
    <col min="14091" max="14336" width="9.140625" style="490"/>
    <col min="14337" max="14337" width="3.85546875" style="490" customWidth="1"/>
    <col min="14338" max="14338" width="28.5703125" style="490" customWidth="1"/>
    <col min="14339" max="14339" width="11.28515625" style="490" customWidth="1"/>
    <col min="14340" max="14340" width="13.140625" style="490" customWidth="1"/>
    <col min="14341" max="14341" width="28.28515625" style="490" customWidth="1"/>
    <col min="14342" max="14342" width="7.28515625" style="490" customWidth="1"/>
    <col min="14343" max="14343" width="22.7109375" style="490" customWidth="1"/>
    <col min="14344" max="14344" width="16.85546875" style="490" customWidth="1"/>
    <col min="14345" max="14345" width="15" style="490" customWidth="1"/>
    <col min="14346" max="14346" width="47.42578125" style="490" customWidth="1"/>
    <col min="14347" max="14592" width="9.140625" style="490"/>
    <col min="14593" max="14593" width="3.85546875" style="490" customWidth="1"/>
    <col min="14594" max="14594" width="28.5703125" style="490" customWidth="1"/>
    <col min="14595" max="14595" width="11.28515625" style="490" customWidth="1"/>
    <col min="14596" max="14596" width="13.140625" style="490" customWidth="1"/>
    <col min="14597" max="14597" width="28.28515625" style="490" customWidth="1"/>
    <col min="14598" max="14598" width="7.28515625" style="490" customWidth="1"/>
    <col min="14599" max="14599" width="22.7109375" style="490" customWidth="1"/>
    <col min="14600" max="14600" width="16.85546875" style="490" customWidth="1"/>
    <col min="14601" max="14601" width="15" style="490" customWidth="1"/>
    <col min="14602" max="14602" width="47.42578125" style="490" customWidth="1"/>
    <col min="14603" max="14848" width="9.140625" style="490"/>
    <col min="14849" max="14849" width="3.85546875" style="490" customWidth="1"/>
    <col min="14850" max="14850" width="28.5703125" style="490" customWidth="1"/>
    <col min="14851" max="14851" width="11.28515625" style="490" customWidth="1"/>
    <col min="14852" max="14852" width="13.140625" style="490" customWidth="1"/>
    <col min="14853" max="14853" width="28.28515625" style="490" customWidth="1"/>
    <col min="14854" max="14854" width="7.28515625" style="490" customWidth="1"/>
    <col min="14855" max="14855" width="22.7109375" style="490" customWidth="1"/>
    <col min="14856" max="14856" width="16.85546875" style="490" customWidth="1"/>
    <col min="14857" max="14857" width="15" style="490" customWidth="1"/>
    <col min="14858" max="14858" width="47.42578125" style="490" customWidth="1"/>
    <col min="14859" max="15104" width="9.140625" style="490"/>
    <col min="15105" max="15105" width="3.85546875" style="490" customWidth="1"/>
    <col min="15106" max="15106" width="28.5703125" style="490" customWidth="1"/>
    <col min="15107" max="15107" width="11.28515625" style="490" customWidth="1"/>
    <col min="15108" max="15108" width="13.140625" style="490" customWidth="1"/>
    <col min="15109" max="15109" width="28.28515625" style="490" customWidth="1"/>
    <col min="15110" max="15110" width="7.28515625" style="490" customWidth="1"/>
    <col min="15111" max="15111" width="22.7109375" style="490" customWidth="1"/>
    <col min="15112" max="15112" width="16.85546875" style="490" customWidth="1"/>
    <col min="15113" max="15113" width="15" style="490" customWidth="1"/>
    <col min="15114" max="15114" width="47.42578125" style="490" customWidth="1"/>
    <col min="15115" max="15360" width="9.140625" style="490"/>
    <col min="15361" max="15361" width="3.85546875" style="490" customWidth="1"/>
    <col min="15362" max="15362" width="28.5703125" style="490" customWidth="1"/>
    <col min="15363" max="15363" width="11.28515625" style="490" customWidth="1"/>
    <col min="15364" max="15364" width="13.140625" style="490" customWidth="1"/>
    <col min="15365" max="15365" width="28.28515625" style="490" customWidth="1"/>
    <col min="15366" max="15366" width="7.28515625" style="490" customWidth="1"/>
    <col min="15367" max="15367" width="22.7109375" style="490" customWidth="1"/>
    <col min="15368" max="15368" width="16.85546875" style="490" customWidth="1"/>
    <col min="15369" max="15369" width="15" style="490" customWidth="1"/>
    <col min="15370" max="15370" width="47.42578125" style="490" customWidth="1"/>
    <col min="15371" max="15616" width="9.140625" style="490"/>
    <col min="15617" max="15617" width="3.85546875" style="490" customWidth="1"/>
    <col min="15618" max="15618" width="28.5703125" style="490" customWidth="1"/>
    <col min="15619" max="15619" width="11.28515625" style="490" customWidth="1"/>
    <col min="15620" max="15620" width="13.140625" style="490" customWidth="1"/>
    <col min="15621" max="15621" width="28.28515625" style="490" customWidth="1"/>
    <col min="15622" max="15622" width="7.28515625" style="490" customWidth="1"/>
    <col min="15623" max="15623" width="22.7109375" style="490" customWidth="1"/>
    <col min="15624" max="15624" width="16.85546875" style="490" customWidth="1"/>
    <col min="15625" max="15625" width="15" style="490" customWidth="1"/>
    <col min="15626" max="15626" width="47.42578125" style="490" customWidth="1"/>
    <col min="15627" max="15872" width="9.140625" style="490"/>
    <col min="15873" max="15873" width="3.85546875" style="490" customWidth="1"/>
    <col min="15874" max="15874" width="28.5703125" style="490" customWidth="1"/>
    <col min="15875" max="15875" width="11.28515625" style="490" customWidth="1"/>
    <col min="15876" max="15876" width="13.140625" style="490" customWidth="1"/>
    <col min="15877" max="15877" width="28.28515625" style="490" customWidth="1"/>
    <col min="15878" max="15878" width="7.28515625" style="490" customWidth="1"/>
    <col min="15879" max="15879" width="22.7109375" style="490" customWidth="1"/>
    <col min="15880" max="15880" width="16.85546875" style="490" customWidth="1"/>
    <col min="15881" max="15881" width="15" style="490" customWidth="1"/>
    <col min="15882" max="15882" width="47.42578125" style="490" customWidth="1"/>
    <col min="15883" max="16128" width="9.140625" style="490"/>
    <col min="16129" max="16129" width="3.85546875" style="490" customWidth="1"/>
    <col min="16130" max="16130" width="28.5703125" style="490" customWidth="1"/>
    <col min="16131" max="16131" width="11.28515625" style="490" customWidth="1"/>
    <col min="16132" max="16132" width="13.140625" style="490" customWidth="1"/>
    <col min="16133" max="16133" width="28.28515625" style="490" customWidth="1"/>
    <col min="16134" max="16134" width="7.28515625" style="490" customWidth="1"/>
    <col min="16135" max="16135" width="22.7109375" style="490" customWidth="1"/>
    <col min="16136" max="16136" width="16.85546875" style="490" customWidth="1"/>
    <col min="16137" max="16137" width="15" style="490" customWidth="1"/>
    <col min="16138" max="16138" width="47.42578125" style="490" customWidth="1"/>
    <col min="16139" max="16384" width="9.140625" style="490"/>
  </cols>
  <sheetData>
    <row r="1" spans="1:9" x14ac:dyDescent="0.25">
      <c r="C1" s="491"/>
      <c r="G1" s="494"/>
      <c r="H1" s="495"/>
    </row>
    <row r="2" spans="1:9" x14ac:dyDescent="0.25">
      <c r="C2" s="491"/>
      <c r="G2" s="494"/>
      <c r="H2" s="497"/>
    </row>
    <row r="3" spans="1:9" ht="15.75" x14ac:dyDescent="0.25">
      <c r="C3" s="491"/>
      <c r="G3" s="498"/>
      <c r="H3" s="497"/>
    </row>
    <row r="4" spans="1:9" s="500" customFormat="1" ht="14.25" x14ac:dyDescent="0.2">
      <c r="A4" s="499"/>
      <c r="B4" s="499"/>
      <c r="C4" s="499"/>
      <c r="D4" s="499"/>
      <c r="E4" s="499"/>
      <c r="F4" s="499"/>
      <c r="G4" s="499"/>
      <c r="H4" s="499"/>
    </row>
    <row r="5" spans="1:9" x14ac:dyDescent="0.2">
      <c r="D5" s="501"/>
      <c r="F5" s="502"/>
      <c r="G5" s="514"/>
    </row>
    <row r="6" spans="1:9" x14ac:dyDescent="0.2">
      <c r="A6" s="1022" t="s">
        <v>482</v>
      </c>
      <c r="B6" s="1022"/>
      <c r="C6" s="1022"/>
      <c r="D6" s="1022"/>
      <c r="E6" s="1022"/>
      <c r="F6" s="1022"/>
      <c r="G6" s="1022"/>
      <c r="H6" s="1022"/>
    </row>
    <row r="7" spans="1:9" ht="90.75" customHeight="1" x14ac:dyDescent="0.2">
      <c r="A7" s="1023" t="str">
        <f>'С С Р'!A6:G6</f>
        <v>Выполнение изыскательских работ, разработка проектной документации, рабочей документации и на их основе составление сметы на строительство тепловой сети для осуществления подключения объекта капитального строительства «Школа на 800 мест», расположенного по адресам: г. Москва, ш. Дмитровское, вл.107; г. Москва, ш. Дмитровское, вл.107, стр.11А</v>
      </c>
      <c r="B7" s="1023"/>
      <c r="C7" s="1023"/>
      <c r="D7" s="1023"/>
      <c r="E7" s="1023"/>
      <c r="F7" s="1023"/>
      <c r="G7" s="1023"/>
      <c r="H7" s="1023"/>
    </row>
    <row r="8" spans="1:9" ht="15.75" x14ac:dyDescent="0.2">
      <c r="A8" s="1131"/>
      <c r="B8" s="1131"/>
      <c r="C8" s="1131"/>
      <c r="D8" s="1131"/>
      <c r="E8" s="1131"/>
      <c r="F8" s="1131"/>
      <c r="G8" s="1131"/>
      <c r="H8" s="1131"/>
    </row>
    <row r="9" spans="1:9" ht="15.75" x14ac:dyDescent="0.2">
      <c r="A9" s="1131" t="s">
        <v>483</v>
      </c>
      <c r="B9" s="1131"/>
      <c r="C9" s="1131"/>
      <c r="D9" s="1131"/>
      <c r="E9" s="1131"/>
      <c r="F9" s="1131"/>
      <c r="G9" s="1131"/>
      <c r="H9" s="1131"/>
    </row>
    <row r="10" spans="1:9" x14ac:dyDescent="0.2">
      <c r="A10" s="1132" t="s">
        <v>484</v>
      </c>
      <c r="B10" s="1132"/>
      <c r="C10" s="1132"/>
      <c r="D10" s="1132"/>
      <c r="E10" s="1132"/>
      <c r="F10" s="1132"/>
      <c r="G10" s="1132"/>
      <c r="H10" s="1132"/>
    </row>
    <row r="11" spans="1:9" x14ac:dyDescent="0.2">
      <c r="A11" s="1022" t="s">
        <v>485</v>
      </c>
      <c r="B11" s="1022"/>
      <c r="C11" s="1022"/>
      <c r="D11" s="1022"/>
      <c r="E11" s="1022"/>
      <c r="F11" s="1022"/>
      <c r="G11" s="1022"/>
      <c r="H11" s="1022"/>
    </row>
    <row r="12" spans="1:9" ht="15.75" thickBot="1" x14ac:dyDescent="0.25">
      <c r="B12" s="504"/>
      <c r="C12" s="504"/>
      <c r="D12" s="490"/>
      <c r="I12" s="891"/>
    </row>
    <row r="13" spans="1:9" ht="58.5" customHeight="1" x14ac:dyDescent="0.2">
      <c r="A13" s="1122">
        <v>1</v>
      </c>
      <c r="B13" s="1125" t="s">
        <v>486</v>
      </c>
      <c r="C13" s="1118">
        <v>1</v>
      </c>
      <c r="D13" s="1127">
        <f>ROUND(C15+C13*C16,2)</f>
        <v>86460</v>
      </c>
      <c r="E13" s="1129" t="s">
        <v>487</v>
      </c>
      <c r="F13" s="1118">
        <v>1.2</v>
      </c>
      <c r="G13" s="1118" t="str">
        <f>CONCATENATE(D13," х ",F13," х ",F15)</f>
        <v>86460 х 1,2 х 0,3</v>
      </c>
      <c r="H13" s="1120">
        <f>ROUND(D13*F13*F15,2)</f>
        <v>31125.599999999999</v>
      </c>
    </row>
    <row r="14" spans="1:9" x14ac:dyDescent="0.2">
      <c r="A14" s="1123"/>
      <c r="B14" s="1126"/>
      <c r="C14" s="1119"/>
      <c r="D14" s="1128"/>
      <c r="E14" s="1130"/>
      <c r="F14" s="1119"/>
      <c r="G14" s="1119"/>
      <c r="H14" s="1121"/>
    </row>
    <row r="15" spans="1:9" ht="75" x14ac:dyDescent="0.2">
      <c r="A15" s="1123"/>
      <c r="B15" s="892" t="s">
        <v>488</v>
      </c>
      <c r="C15" s="893">
        <v>86460</v>
      </c>
      <c r="D15" s="894"/>
      <c r="E15" s="895" t="s">
        <v>489</v>
      </c>
      <c r="F15" s="896">
        <v>0.3</v>
      </c>
      <c r="G15" s="897"/>
      <c r="H15" s="898"/>
    </row>
    <row r="16" spans="1:9" ht="15.75" thickBot="1" x14ac:dyDescent="0.25">
      <c r="A16" s="1124"/>
      <c r="B16" s="748" t="s">
        <v>11</v>
      </c>
      <c r="C16" s="899"/>
      <c r="D16" s="899"/>
      <c r="E16" s="900"/>
      <c r="F16" s="901"/>
      <c r="G16" s="902"/>
      <c r="H16" s="903"/>
    </row>
    <row r="17" spans="1:9" ht="74.25" customHeight="1" x14ac:dyDescent="0.2">
      <c r="A17" s="1122">
        <v>2</v>
      </c>
      <c r="B17" s="1125" t="s">
        <v>490</v>
      </c>
      <c r="C17" s="1118">
        <v>1</v>
      </c>
      <c r="D17" s="1127">
        <f>ROUND(C19+C17*C20,2)</f>
        <v>30603</v>
      </c>
      <c r="E17" s="1129" t="s">
        <v>487</v>
      </c>
      <c r="F17" s="1118">
        <v>1.2</v>
      </c>
      <c r="G17" s="1118" t="str">
        <f>CONCATENATE(D17," х ",F17)</f>
        <v>30603 х 1,2</v>
      </c>
      <c r="H17" s="1120">
        <f>ROUND(D17*F17,2)</f>
        <v>36723.599999999999</v>
      </c>
    </row>
    <row r="18" spans="1:9" x14ac:dyDescent="0.2">
      <c r="A18" s="1123"/>
      <c r="B18" s="1126"/>
      <c r="C18" s="1119"/>
      <c r="D18" s="1128"/>
      <c r="E18" s="1130"/>
      <c r="F18" s="1119"/>
      <c r="G18" s="1119"/>
      <c r="H18" s="1121"/>
    </row>
    <row r="19" spans="1:9" ht="30" x14ac:dyDescent="0.2">
      <c r="A19" s="1123"/>
      <c r="B19" s="892" t="s">
        <v>491</v>
      </c>
      <c r="C19" s="893">
        <v>25980</v>
      </c>
      <c r="D19" s="894"/>
      <c r="E19" s="895"/>
      <c r="F19" s="896"/>
      <c r="G19" s="897"/>
      <c r="H19" s="898"/>
    </row>
    <row r="20" spans="1:9" ht="15.75" thickBot="1" x14ac:dyDescent="0.25">
      <c r="A20" s="1124"/>
      <c r="B20" s="748" t="s">
        <v>11</v>
      </c>
      <c r="C20" s="749">
        <v>4623</v>
      </c>
      <c r="D20" s="899"/>
      <c r="E20" s="900"/>
      <c r="F20" s="901"/>
      <c r="G20" s="902"/>
      <c r="H20" s="903"/>
    </row>
    <row r="21" spans="1:9" ht="15.75" thickBot="1" x14ac:dyDescent="0.25">
      <c r="A21" s="904"/>
      <c r="B21" s="905" t="s">
        <v>492</v>
      </c>
      <c r="C21" s="906"/>
      <c r="D21" s="906"/>
      <c r="E21" s="906"/>
      <c r="F21" s="906"/>
      <c r="G21" s="906"/>
      <c r="H21" s="907">
        <f>ROUND(H13+H17,2)</f>
        <v>67849.2</v>
      </c>
      <c r="I21" s="490"/>
    </row>
    <row r="22" spans="1:9" ht="30.75" hidden="1" thickBot="1" x14ac:dyDescent="0.25">
      <c r="A22" s="908"/>
      <c r="B22" s="1117" t="s">
        <v>493</v>
      </c>
      <c r="C22" s="1117"/>
      <c r="D22" s="1117"/>
      <c r="E22" s="909" t="s">
        <v>494</v>
      </c>
      <c r="F22" s="910">
        <v>1</v>
      </c>
      <c r="G22" s="911" t="str">
        <f>CONCATENATE(H21," х ",F22)</f>
        <v>67849,2 х 1</v>
      </c>
      <c r="H22" s="912">
        <f>ROUND(H21*F22,2)</f>
        <v>67849.2</v>
      </c>
    </row>
    <row r="23" spans="1:9" ht="15.75" thickBot="1" x14ac:dyDescent="0.25">
      <c r="A23" s="908"/>
      <c r="B23" s="1117" t="s">
        <v>495</v>
      </c>
      <c r="C23" s="1117"/>
      <c r="D23" s="1117"/>
      <c r="E23" s="505" t="s">
        <v>496</v>
      </c>
      <c r="F23" s="505">
        <v>1.19</v>
      </c>
      <c r="G23" s="913" t="str">
        <f>CONCATENATE(H22," / ",F23)</f>
        <v>67849,2 / 1,19</v>
      </c>
      <c r="H23" s="907">
        <f>ROUND(H22/F23,2)</f>
        <v>57016.13</v>
      </c>
    </row>
    <row r="24" spans="1:9" x14ac:dyDescent="0.2">
      <c r="A24" s="914"/>
      <c r="B24" s="750"/>
      <c r="C24" s="750"/>
      <c r="D24" s="750"/>
      <c r="E24" s="915"/>
      <c r="F24" s="916"/>
      <c r="G24" s="917"/>
      <c r="H24" s="918"/>
    </row>
    <row r="25" spans="1:9" x14ac:dyDescent="0.2">
      <c r="A25" s="914"/>
      <c r="B25" s="750"/>
      <c r="C25" s="750"/>
      <c r="D25" s="750"/>
      <c r="E25" s="915"/>
      <c r="F25" s="916"/>
      <c r="G25" s="917"/>
      <c r="H25" s="918"/>
    </row>
    <row r="27" spans="1:9" x14ac:dyDescent="0.2">
      <c r="G27" s="919"/>
    </row>
    <row r="28" spans="1:9" x14ac:dyDescent="0.2">
      <c r="G28" s="919"/>
    </row>
    <row r="29" spans="1:9" x14ac:dyDescent="0.2">
      <c r="G29" s="919"/>
    </row>
    <row r="30" spans="1:9" x14ac:dyDescent="0.2">
      <c r="G30" s="919"/>
    </row>
    <row r="31" spans="1:9" x14ac:dyDescent="0.2">
      <c r="G31" s="919"/>
    </row>
    <row r="32" spans="1:9" x14ac:dyDescent="0.2">
      <c r="G32" s="919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view="pageBreakPreview" topLeftCell="A20" zoomScale="90" zoomScaleNormal="100" zoomScaleSheetLayoutView="90" workbookViewId="0">
      <selection activeCell="B21" sqref="B21:G31"/>
    </sheetView>
  </sheetViews>
  <sheetFormatPr defaultColWidth="18.28515625" defaultRowHeight="12.75" x14ac:dyDescent="0.2"/>
  <cols>
    <col min="1" max="1" width="4.140625" style="182" customWidth="1"/>
    <col min="2" max="2" width="24.85546875" style="61" customWidth="1"/>
    <col min="3" max="3" width="12.5703125" style="61" customWidth="1"/>
    <col min="4" max="4" width="25.85546875" style="61" customWidth="1"/>
    <col min="5" max="5" width="9.42578125" style="61" customWidth="1"/>
    <col min="6" max="6" width="23.42578125" style="61" customWidth="1"/>
    <col min="7" max="7" width="12.5703125" style="61" customWidth="1"/>
    <col min="8" max="8" width="16.5703125" style="61" customWidth="1"/>
    <col min="9" max="11" width="11" style="61" customWidth="1"/>
    <col min="12" max="12" width="11" style="186" customWidth="1"/>
    <col min="13" max="13" width="11" style="61" customWidth="1"/>
    <col min="14" max="14" width="10.28515625" style="61" customWidth="1"/>
    <col min="15" max="17" width="9.140625" style="61" customWidth="1"/>
    <col min="18" max="16384" width="18.28515625" style="61"/>
  </cols>
  <sheetData>
    <row r="1" spans="1:17" ht="14.25" x14ac:dyDescent="0.2">
      <c r="I1" s="231" t="s">
        <v>157</v>
      </c>
    </row>
    <row r="2" spans="1:17" s="66" customFormat="1" ht="19.5" customHeight="1" x14ac:dyDescent="0.2">
      <c r="A2" s="114"/>
      <c r="B2" s="114"/>
      <c r="C2" s="114"/>
      <c r="D2" s="114"/>
      <c r="N2" s="220"/>
      <c r="O2" s="220"/>
    </row>
    <row r="3" spans="1:17" s="66" customFormat="1" ht="19.5" hidden="1" customHeight="1" x14ac:dyDescent="0.2">
      <c r="A3" s="114"/>
      <c r="B3" s="114"/>
      <c r="C3" s="114"/>
      <c r="D3" s="114"/>
      <c r="E3" s="207"/>
      <c r="G3" s="207"/>
      <c r="H3" s="61"/>
      <c r="I3" s="187" t="s">
        <v>157</v>
      </c>
      <c r="J3" s="61"/>
      <c r="K3" s="61"/>
      <c r="L3" s="186"/>
      <c r="M3" s="61"/>
      <c r="N3" s="220"/>
      <c r="O3" s="220"/>
    </row>
    <row r="4" spans="1:17" s="66" customFormat="1" ht="19.5" hidden="1" customHeight="1" x14ac:dyDescent="0.2">
      <c r="A4" s="114"/>
      <c r="B4" s="114"/>
      <c r="C4" s="114"/>
      <c r="D4" s="114"/>
      <c r="E4" s="207"/>
      <c r="G4" s="207"/>
      <c r="H4" s="158"/>
      <c r="I4" s="228" t="s">
        <v>158</v>
      </c>
      <c r="J4" s="229"/>
      <c r="K4" s="229"/>
      <c r="L4" s="230"/>
      <c r="M4" s="222" t="s">
        <v>159</v>
      </c>
      <c r="N4" s="220"/>
      <c r="O4" s="220"/>
    </row>
    <row r="5" spans="1:17" s="66" customFormat="1" ht="19.5" customHeight="1" x14ac:dyDescent="0.2">
      <c r="D5" s="90"/>
      <c r="H5" s="158"/>
      <c r="I5" s="223" t="s">
        <v>160</v>
      </c>
      <c r="J5" s="223" t="s">
        <v>161</v>
      </c>
      <c r="K5" s="223" t="s">
        <v>162</v>
      </c>
      <c r="L5" s="224" t="s">
        <v>163</v>
      </c>
      <c r="M5" s="225"/>
      <c r="N5" s="220"/>
      <c r="O5" s="220"/>
    </row>
    <row r="6" spans="1:17" s="66" customFormat="1" ht="19.5" customHeight="1" x14ac:dyDescent="0.2">
      <c r="D6" s="90"/>
      <c r="E6" s="207"/>
      <c r="G6" s="208"/>
      <c r="H6" s="188" t="s">
        <v>164</v>
      </c>
      <c r="I6" s="185">
        <v>0.01</v>
      </c>
      <c r="J6" s="185">
        <v>0.15</v>
      </c>
      <c r="K6" s="185">
        <v>1.5</v>
      </c>
      <c r="L6" s="189">
        <f>J6-(J6-J7)*(M16-I6)/(I7-I6)</f>
        <v>-0.27830332999999996</v>
      </c>
      <c r="N6" s="220"/>
      <c r="O6" s="220"/>
    </row>
    <row r="7" spans="1:17" ht="20.25" customHeight="1" x14ac:dyDescent="0.2">
      <c r="A7" s="1022" t="s">
        <v>497</v>
      </c>
      <c r="B7" s="1022"/>
      <c r="C7" s="1022"/>
      <c r="D7" s="1022"/>
      <c r="E7" s="1022"/>
      <c r="F7" s="1022"/>
      <c r="G7" s="1022"/>
      <c r="H7" s="158"/>
      <c r="I7" s="185">
        <v>0.05</v>
      </c>
      <c r="J7" s="185">
        <v>0.11</v>
      </c>
      <c r="K7" s="185">
        <v>5.5</v>
      </c>
      <c r="L7" s="189">
        <f>J7-(J7-J8)*(M16-I7)/(I8-I7)</f>
        <v>-8.4151664999999973E-2</v>
      </c>
      <c r="M7" s="190"/>
      <c r="N7" s="190"/>
      <c r="O7" s="220"/>
    </row>
    <row r="8" spans="1:17" s="178" customFormat="1" ht="13.5" x14ac:dyDescent="0.2">
      <c r="A8" s="1134"/>
      <c r="B8" s="1134"/>
      <c r="C8" s="1134"/>
      <c r="D8" s="1134"/>
      <c r="E8" s="1134"/>
      <c r="F8" s="1134"/>
      <c r="G8" s="1134"/>
      <c r="H8" s="158"/>
      <c r="I8" s="185">
        <v>0.1</v>
      </c>
      <c r="J8" s="185">
        <v>8.5000000000000006E-2</v>
      </c>
      <c r="K8" s="185">
        <v>8.5</v>
      </c>
      <c r="L8" s="189">
        <f>J8-(J8-J9)*(M16-I8)/(I9-I8)</f>
        <v>1.7339333999999929E-2</v>
      </c>
      <c r="M8" s="190"/>
      <c r="N8" s="190"/>
      <c r="O8" s="220"/>
    </row>
    <row r="9" spans="1:17" s="178" customFormat="1" ht="93.75" customHeight="1" x14ac:dyDescent="0.2">
      <c r="A9" s="1135" t="str">
        <f>'С С Р'!A6:G6</f>
        <v>Выполнение изыскательских работ, разработка проектной документации, рабочей документации и на их основе составление сметы на строительство тепловой сети для осуществления подключения объекта капитального строительства «Школа на 800 мест», расположенного по адресам: г. Москва, ш. Дмитровское, вл.107; г. Москва, ш. Дмитровское, вл.107, стр.11А</v>
      </c>
      <c r="B9" s="1135"/>
      <c r="C9" s="1135"/>
      <c r="D9" s="1135"/>
      <c r="E9" s="1135"/>
      <c r="F9" s="1135"/>
      <c r="G9" s="1135"/>
      <c r="H9" s="158"/>
      <c r="I9" s="185">
        <v>0.15</v>
      </c>
      <c r="J9" s="185">
        <v>7.4999999999999997E-2</v>
      </c>
      <c r="K9" s="185">
        <v>11.25</v>
      </c>
      <c r="L9" s="189">
        <f>J9-(J9-J10)*(M16-I9)/(I10-I9)</f>
        <v>2.8871467200000056E-2</v>
      </c>
      <c r="M9" s="190"/>
      <c r="N9" s="190"/>
      <c r="O9" s="220"/>
    </row>
    <row r="10" spans="1:17" s="66" customFormat="1" ht="17.25" customHeight="1" thickBot="1" x14ac:dyDescent="0.25">
      <c r="A10" s="1140" t="s">
        <v>254</v>
      </c>
      <c r="B10" s="1140"/>
      <c r="C10" s="1140"/>
      <c r="D10" s="1140"/>
      <c r="E10" s="1140"/>
      <c r="F10" s="1140"/>
      <c r="G10" s="1140"/>
      <c r="H10" s="158"/>
      <c r="I10" s="185">
        <v>0.2</v>
      </c>
      <c r="J10" s="185">
        <v>6.7000000000000004E-2</v>
      </c>
      <c r="K10" s="185">
        <v>13.4</v>
      </c>
      <c r="L10" s="189">
        <f>J10-(J10-J11)*(M16-I10)/(I11-I10)</f>
        <v>2.4105400599999993E-2</v>
      </c>
      <c r="M10" s="190"/>
      <c r="N10" s="190"/>
      <c r="O10" s="220"/>
    </row>
    <row r="11" spans="1:17" s="178" customFormat="1" ht="43.5" customHeight="1" thickBot="1" x14ac:dyDescent="0.25">
      <c r="A11" s="1136" t="s">
        <v>169</v>
      </c>
      <c r="B11" s="1137"/>
      <c r="C11" s="1137"/>
      <c r="D11" s="1137"/>
      <c r="E11" s="1137"/>
      <c r="F11" s="1137"/>
      <c r="G11" s="1138"/>
      <c r="H11" s="158"/>
      <c r="I11" s="185">
        <v>0.25</v>
      </c>
      <c r="J11" s="185">
        <v>5.8000000000000003E-2</v>
      </c>
      <c r="K11" s="185">
        <v>14.5</v>
      </c>
      <c r="L11" s="189">
        <f>J11-(J11-J12)*(M16-I11)/(I12-I11)</f>
        <v>5.0467866799999997E-2</v>
      </c>
      <c r="M11" s="190"/>
      <c r="N11" s="190"/>
      <c r="O11" s="220"/>
      <c r="P11" s="177"/>
      <c r="Q11" s="177"/>
    </row>
    <row r="12" spans="1:17" ht="26.25" thickBot="1" x14ac:dyDescent="0.25">
      <c r="A12" s="204" t="s">
        <v>145</v>
      </c>
      <c r="B12" s="191" t="s">
        <v>146</v>
      </c>
      <c r="C12" s="192" t="s">
        <v>8</v>
      </c>
      <c r="D12" s="191" t="s">
        <v>3</v>
      </c>
      <c r="E12" s="193" t="s">
        <v>147</v>
      </c>
      <c r="F12" s="194" t="s">
        <v>0</v>
      </c>
      <c r="G12" s="179" t="s">
        <v>5</v>
      </c>
      <c r="H12" s="158"/>
      <c r="I12" s="185">
        <v>0.3</v>
      </c>
      <c r="J12" s="185">
        <v>5.6000000000000001E-2</v>
      </c>
      <c r="K12" s="185">
        <v>16.8</v>
      </c>
      <c r="L12" s="189">
        <f>J12-(J12-J13)*(M16-I12)/(I13-I12)</f>
        <v>4.2169667000000008E-2</v>
      </c>
      <c r="M12" s="190"/>
      <c r="N12" s="190"/>
      <c r="O12" s="220"/>
    </row>
    <row r="13" spans="1:17" ht="13.5" x14ac:dyDescent="0.2">
      <c r="A13" s="415"/>
      <c r="B13" s="416"/>
      <c r="C13" s="417"/>
      <c r="D13" s="418"/>
      <c r="E13" s="419"/>
      <c r="F13" s="420"/>
      <c r="G13" s="421"/>
      <c r="H13" s="158"/>
      <c r="I13" s="185">
        <v>0.4</v>
      </c>
      <c r="J13" s="185">
        <v>4.5999999999999999E-2</v>
      </c>
      <c r="K13" s="185">
        <v>18.399999999999999</v>
      </c>
      <c r="L13" s="189">
        <f>J13-(J13-J14)*(M16-I13)/(I14-I13)</f>
        <v>4.33187669E-2</v>
      </c>
      <c r="M13" s="190"/>
      <c r="N13" s="190"/>
      <c r="O13" s="220"/>
    </row>
    <row r="14" spans="1:17" s="3" customFormat="1" ht="39" thickBot="1" x14ac:dyDescent="0.25">
      <c r="A14" s="180">
        <v>1</v>
      </c>
      <c r="B14" s="195" t="s">
        <v>148</v>
      </c>
      <c r="C14" s="441">
        <f>Т.с.!I85+'ООС+Тр'!H63</f>
        <v>679370.16</v>
      </c>
      <c r="D14" s="384"/>
      <c r="E14" s="196"/>
      <c r="F14" s="197"/>
      <c r="G14" s="198"/>
      <c r="H14" s="380"/>
      <c r="I14" s="185">
        <v>0.5</v>
      </c>
      <c r="J14" s="185">
        <v>3.9E-2</v>
      </c>
      <c r="K14" s="185">
        <v>19.5</v>
      </c>
      <c r="L14" s="189">
        <f>J14-(J14-J16)*(M16-I14)/(I16-I14)</f>
        <v>4.1467866799999996E-2</v>
      </c>
      <c r="M14" s="190"/>
      <c r="N14" s="190"/>
      <c r="O14" s="220"/>
    </row>
    <row r="15" spans="1:17" s="3" customFormat="1" ht="30.75" hidden="1" customHeight="1" thickBot="1" x14ac:dyDescent="0.25">
      <c r="A15" s="181"/>
      <c r="B15" s="1133" t="s">
        <v>149</v>
      </c>
      <c r="C15" s="1139"/>
      <c r="D15" s="199" t="s">
        <v>150</v>
      </c>
      <c r="E15" s="196">
        <v>1</v>
      </c>
      <c r="F15" s="197" t="s">
        <v>155</v>
      </c>
      <c r="G15" s="198">
        <v>287966.15000000002</v>
      </c>
      <c r="M15" s="190"/>
      <c r="N15" s="190"/>
      <c r="O15" s="220"/>
    </row>
    <row r="16" spans="1:17" s="3" customFormat="1" ht="39" thickBot="1" x14ac:dyDescent="0.25">
      <c r="A16" s="181"/>
      <c r="B16" s="1133" t="s">
        <v>151</v>
      </c>
      <c r="C16" s="982"/>
      <c r="D16" s="203" t="s">
        <v>152</v>
      </c>
      <c r="E16" s="209">
        <v>1.55</v>
      </c>
      <c r="F16" s="209" t="str">
        <f>CONCATENATE(C14,"/",1.55)</f>
        <v>679370,16/1,55</v>
      </c>
      <c r="G16" s="200">
        <f>ROUND(C14/1.55,2)</f>
        <v>438303.33</v>
      </c>
      <c r="H16" s="158"/>
      <c r="I16" s="185">
        <v>0.6</v>
      </c>
      <c r="J16" s="185">
        <v>3.5000000000000003E-2</v>
      </c>
      <c r="K16" s="185">
        <v>21</v>
      </c>
      <c r="L16" s="189">
        <f>J16-(J16-J17)*(M16-I16)/(I17-I16)</f>
        <v>4.146786680000001E-2</v>
      </c>
      <c r="M16" s="226">
        <f>G16/1000000</f>
        <v>0.43830332999999999</v>
      </c>
      <c r="N16" s="190"/>
      <c r="O16" s="220"/>
    </row>
    <row r="17" spans="1:15" s="3" customFormat="1" ht="26.25" thickBot="1" x14ac:dyDescent="0.25">
      <c r="A17" s="181"/>
      <c r="B17" s="1133" t="s">
        <v>153</v>
      </c>
      <c r="C17" s="982"/>
      <c r="D17" s="72" t="s">
        <v>170</v>
      </c>
      <c r="E17" s="482">
        <f>ROUND(INDEX(L:L,MATCH(ROUND(G16/1000000,3),I:I,2)),4)</f>
        <v>4.3299999999999998E-2</v>
      </c>
      <c r="F17" s="72" t="str">
        <f>CONCATENATE(G16,"*",E17,"*",1.55)</f>
        <v>438303,33*0,0433*1,55</v>
      </c>
      <c r="G17" s="201">
        <f>ROUND(G16*E17*1.55,2)</f>
        <v>29416.73</v>
      </c>
      <c r="H17" s="158"/>
      <c r="I17" s="185">
        <v>0.7</v>
      </c>
      <c r="J17" s="185">
        <v>3.1E-2</v>
      </c>
      <c r="K17" s="185">
        <v>21.7</v>
      </c>
      <c r="L17" s="189">
        <f>J17-(J17-J18)*(M16-I17)/(I18-I17)</f>
        <v>3.6233933399999987E-2</v>
      </c>
      <c r="M17" s="190"/>
      <c r="N17" s="190"/>
      <c r="O17" s="220"/>
    </row>
    <row r="18" spans="1:15" ht="13.5" x14ac:dyDescent="0.2">
      <c r="H18" s="158"/>
      <c r="I18" s="185">
        <v>0.8</v>
      </c>
      <c r="J18" s="185">
        <v>2.9000000000000001E-2</v>
      </c>
      <c r="K18" s="185">
        <v>23.2</v>
      </c>
      <c r="L18" s="189">
        <f>J18-(J18-J19)*(M16-I18)/(I19-I18)</f>
        <v>3.9850900100000017E-2</v>
      </c>
      <c r="M18" s="190"/>
      <c r="O18" s="220"/>
    </row>
    <row r="19" spans="1:15" ht="13.5" x14ac:dyDescent="0.2">
      <c r="H19" s="158"/>
      <c r="I19" s="185">
        <v>0.9</v>
      </c>
      <c r="J19" s="185">
        <v>2.5999999999999999E-2</v>
      </c>
      <c r="K19" s="185">
        <v>23.4</v>
      </c>
      <c r="L19" s="189">
        <f>J19-(J19-J20)*(M16-I19)/(I20-I19)</f>
        <v>3.5233933399999993E-2</v>
      </c>
      <c r="M19" s="190"/>
      <c r="N19" s="190"/>
      <c r="O19" s="220"/>
    </row>
    <row r="20" spans="1:15" ht="15" x14ac:dyDescent="0.2">
      <c r="A20" s="617"/>
      <c r="B20" s="704"/>
      <c r="C20" s="705"/>
      <c r="D20" s="706"/>
      <c r="E20" s="707"/>
      <c r="F20" s="708"/>
      <c r="G20" s="708"/>
      <c r="H20" s="708"/>
      <c r="I20" s="185">
        <v>1</v>
      </c>
      <c r="J20" s="185">
        <v>2.4E-2</v>
      </c>
      <c r="K20" s="185">
        <v>24</v>
      </c>
      <c r="L20" s="189">
        <f>J20-(J20-J21)*(M16-I20)/(I21-I20)</f>
        <v>2.96169667E-2</v>
      </c>
      <c r="M20" s="158"/>
      <c r="O20" s="220"/>
    </row>
    <row r="21" spans="1:15" ht="15" x14ac:dyDescent="0.2">
      <c r="A21" s="617"/>
      <c r="B21" s="704"/>
      <c r="C21" s="705"/>
      <c r="D21" s="706"/>
      <c r="E21" s="707"/>
      <c r="F21" s="708"/>
      <c r="G21" s="708"/>
      <c r="H21" s="708"/>
      <c r="I21" s="185">
        <v>1.1000000000000001</v>
      </c>
      <c r="J21" s="185">
        <v>2.3E-2</v>
      </c>
      <c r="K21" s="185">
        <v>25.3</v>
      </c>
      <c r="L21" s="189">
        <f>J21-(J21-J22)*(M16-I21)/(I22-I21)</f>
        <v>2.9616966700000014E-2</v>
      </c>
      <c r="M21" s="158"/>
      <c r="O21" s="220"/>
    </row>
    <row r="22" spans="1:15" ht="15" x14ac:dyDescent="0.2">
      <c r="A22" s="617"/>
      <c r="B22" s="704"/>
      <c r="C22" s="705"/>
      <c r="D22" s="706"/>
      <c r="E22" s="707"/>
      <c r="F22" s="708"/>
      <c r="G22" s="708"/>
      <c r="H22" s="708"/>
      <c r="I22" s="185">
        <v>1.2</v>
      </c>
      <c r="J22" s="185">
        <v>2.1999999999999999E-2</v>
      </c>
      <c r="K22" s="185">
        <v>26.4</v>
      </c>
      <c r="L22" s="189">
        <f>J22-(J22-J23)*(M16-I22)/(I23-I22)</f>
        <v>2.5808483349999998E-2</v>
      </c>
      <c r="M22" s="158"/>
      <c r="N22" s="220"/>
      <c r="O22" s="220"/>
    </row>
    <row r="23" spans="1:15" ht="15" x14ac:dyDescent="0.2">
      <c r="A23" s="617"/>
      <c r="B23" s="490"/>
      <c r="C23" s="490"/>
      <c r="D23" s="490"/>
      <c r="E23" s="616"/>
      <c r="F23" s="616"/>
      <c r="G23" s="504"/>
      <c r="H23" s="616"/>
      <c r="I23" s="185">
        <v>1.3</v>
      </c>
      <c r="J23" s="185">
        <v>2.1499999999999998E-2</v>
      </c>
      <c r="K23" s="185">
        <v>27.3</v>
      </c>
      <c r="L23" s="189">
        <f>J23-(J23-J24)*(M16-I23)/(I24-I23)</f>
        <v>2.3223393339999992E-2</v>
      </c>
      <c r="M23" s="158"/>
      <c r="O23" s="220"/>
    </row>
    <row r="24" spans="1:15" ht="15" x14ac:dyDescent="0.2">
      <c r="A24" s="617"/>
      <c r="B24" s="502"/>
      <c r="C24" s="502"/>
      <c r="D24" s="502"/>
      <c r="E24" s="618"/>
      <c r="F24" s="510"/>
      <c r="G24" s="504"/>
      <c r="H24" s="618"/>
      <c r="I24" s="185">
        <v>1.4</v>
      </c>
      <c r="J24" s="185">
        <v>2.1299999999999999E-2</v>
      </c>
      <c r="K24" s="185">
        <v>29.8</v>
      </c>
      <c r="L24" s="189">
        <f>J24-(J24-J25)*(M16-I24)/(I25-I24)</f>
        <v>2.4185090009999979E-2</v>
      </c>
      <c r="M24" s="158"/>
      <c r="N24" s="220"/>
      <c r="O24" s="220"/>
    </row>
    <row r="25" spans="1:15" ht="15" x14ac:dyDescent="0.2">
      <c r="A25" s="617"/>
      <c r="B25" s="502"/>
      <c r="C25" s="502"/>
      <c r="D25" s="502"/>
      <c r="E25" s="618"/>
      <c r="F25" s="510"/>
      <c r="G25" s="504"/>
      <c r="H25" s="618"/>
      <c r="I25" s="185">
        <v>1.5</v>
      </c>
      <c r="J25" s="185">
        <v>2.1000000000000001E-2</v>
      </c>
      <c r="K25" s="185">
        <v>31.5</v>
      </c>
      <c r="L25" s="189">
        <f>J25-(J25-J26)*(M16-I25)/(I26-I25)</f>
        <v>2.5246786680000004E-2</v>
      </c>
      <c r="M25" s="158"/>
      <c r="N25" s="220"/>
      <c r="O25" s="220"/>
    </row>
    <row r="26" spans="1:15" ht="15" x14ac:dyDescent="0.2">
      <c r="A26" s="616"/>
      <c r="B26" s="490"/>
      <c r="C26" s="490"/>
      <c r="D26" s="490"/>
      <c r="E26" s="617"/>
      <c r="F26" s="617"/>
      <c r="G26" s="619"/>
      <c r="H26" s="617"/>
      <c r="I26" s="185">
        <v>2</v>
      </c>
      <c r="J26" s="185">
        <v>1.9E-2</v>
      </c>
      <c r="K26" s="185">
        <v>38</v>
      </c>
      <c r="L26" s="189">
        <f>J26-(J26-J27)*(M16-I26)/(I27-I26)</f>
        <v>1.9E-2</v>
      </c>
      <c r="M26" s="158"/>
      <c r="N26" s="220"/>
      <c r="O26" s="220"/>
    </row>
    <row r="27" spans="1:15" ht="15" x14ac:dyDescent="0.2">
      <c r="A27" s="616"/>
      <c r="B27" s="490"/>
      <c r="C27" s="490"/>
      <c r="D27" s="490"/>
      <c r="E27" s="617"/>
      <c r="F27" s="617"/>
      <c r="G27" s="504"/>
      <c r="H27" s="617"/>
      <c r="I27" s="185">
        <v>3</v>
      </c>
      <c r="J27" s="185">
        <v>1.9E-2</v>
      </c>
      <c r="K27" s="185">
        <v>45</v>
      </c>
      <c r="L27" s="189">
        <f>J27-(J27-J28)*(M16-I27)/(I28-I27)</f>
        <v>3.6931876689999997E-2</v>
      </c>
      <c r="M27" s="158"/>
      <c r="N27" s="220"/>
      <c r="O27" s="220"/>
    </row>
    <row r="28" spans="1:15" ht="15" x14ac:dyDescent="0.2">
      <c r="A28" s="616"/>
      <c r="B28" s="710"/>
      <c r="C28" s="710"/>
      <c r="D28" s="711"/>
      <c r="E28" s="712"/>
      <c r="F28" s="617"/>
      <c r="G28" s="617"/>
      <c r="H28" s="617"/>
      <c r="I28" s="185">
        <v>4</v>
      </c>
      <c r="J28" s="185">
        <v>1.2E-2</v>
      </c>
      <c r="K28" s="185">
        <v>48</v>
      </c>
      <c r="L28" s="189">
        <f>J28-(J28-J29)*(M16-I28)/(I29-I28)</f>
        <v>1.5561696670000003E-2</v>
      </c>
      <c r="M28" s="158"/>
      <c r="N28" s="220"/>
      <c r="O28" s="220"/>
    </row>
    <row r="29" spans="1:15" ht="15" x14ac:dyDescent="0.2">
      <c r="A29" s="616"/>
      <c r="B29" s="710"/>
      <c r="C29" s="710"/>
      <c r="D29" s="711"/>
      <c r="E29" s="713"/>
      <c r="F29" s="617"/>
      <c r="G29" s="617"/>
      <c r="H29" s="617"/>
      <c r="I29" s="185">
        <v>5</v>
      </c>
      <c r="J29" s="185">
        <v>1.0999999999999999E-2</v>
      </c>
      <c r="K29" s="185">
        <v>55</v>
      </c>
      <c r="L29" s="189">
        <f>J29-(J29-J30)*(M16-I29)/(I30-I29)</f>
        <v>1.3280848334999994E-2</v>
      </c>
      <c r="M29" s="158"/>
      <c r="N29" s="220"/>
      <c r="O29" s="220"/>
    </row>
    <row r="30" spans="1:15" ht="15" x14ac:dyDescent="0.2">
      <c r="A30" s="616"/>
      <c r="B30" s="710"/>
      <c r="C30" s="710"/>
      <c r="D30" s="711"/>
      <c r="E30" s="712"/>
      <c r="F30" s="617"/>
      <c r="G30" s="617"/>
      <c r="H30" s="617"/>
      <c r="I30" s="185">
        <v>6</v>
      </c>
      <c r="J30" s="185">
        <v>1.0500000000000001E-2</v>
      </c>
      <c r="K30" s="185">
        <v>63</v>
      </c>
      <c r="L30" s="189">
        <f>J30-(J30-J31)*(M16-I30)/(I31-I30)</f>
        <v>1.3280848335000003E-2</v>
      </c>
      <c r="M30" s="158"/>
      <c r="N30" s="220"/>
      <c r="O30" s="220"/>
    </row>
    <row r="31" spans="1:15" ht="15" x14ac:dyDescent="0.2">
      <c r="A31" s="617"/>
      <c r="B31" s="704"/>
      <c r="C31" s="705"/>
      <c r="D31" s="706"/>
      <c r="E31" s="707"/>
      <c r="F31" s="445"/>
      <c r="G31" s="445"/>
      <c r="H31" s="445"/>
      <c r="I31" s="185">
        <v>7</v>
      </c>
      <c r="J31" s="185">
        <v>0.01</v>
      </c>
      <c r="K31" s="185">
        <v>70</v>
      </c>
      <c r="L31" s="189">
        <f>J31-(J31-J32)*(M16-I31)/(I32-I31)</f>
        <v>1.3937018002E-2</v>
      </c>
      <c r="M31" s="158"/>
      <c r="N31" s="220"/>
      <c r="O31" s="220"/>
    </row>
    <row r="32" spans="1:15" ht="13.5" x14ac:dyDescent="0.2">
      <c r="H32" s="158"/>
      <c r="I32" s="185">
        <v>8</v>
      </c>
      <c r="J32" s="185">
        <v>9.4000000000000004E-3</v>
      </c>
      <c r="K32" s="185">
        <v>78.400000000000006</v>
      </c>
      <c r="L32" s="189">
        <f>J32-(J32-J33)*(M16-I32)/(I33-I32)</f>
        <v>6.3753213320000054E-3</v>
      </c>
      <c r="M32" s="158"/>
      <c r="N32" s="220"/>
      <c r="O32" s="220"/>
    </row>
    <row r="33" spans="8:15" ht="13.5" x14ac:dyDescent="0.2">
      <c r="H33" s="158"/>
      <c r="I33" s="185">
        <v>9</v>
      </c>
      <c r="J33" s="185">
        <v>9.7999999999999997E-3</v>
      </c>
      <c r="K33" s="185">
        <v>85.5</v>
      </c>
      <c r="L33" s="189">
        <f>J33-(J33-J34)*(M16-I33)/(I34-I33)</f>
        <v>1.2368509000999998E-2</v>
      </c>
      <c r="M33" s="158"/>
      <c r="N33" s="220"/>
      <c r="O33" s="220"/>
    </row>
    <row r="34" spans="8:15" ht="13.5" x14ac:dyDescent="0.2">
      <c r="H34" s="158"/>
      <c r="I34" s="185">
        <v>10</v>
      </c>
      <c r="J34" s="185">
        <v>9.4999999999999998E-3</v>
      </c>
      <c r="K34" s="185">
        <v>95</v>
      </c>
      <c r="L34" s="189" t="e">
        <f>J34-(J34-J35)*(M16-I34)/(I35-I34)</f>
        <v>#DIV/0!</v>
      </c>
      <c r="M34" s="158"/>
      <c r="N34" s="220"/>
      <c r="O34" s="220"/>
    </row>
    <row r="35" spans="8:15" ht="13.5" x14ac:dyDescent="0.2">
      <c r="H35" s="158"/>
      <c r="I35" s="185">
        <v>10</v>
      </c>
      <c r="J35" s="185">
        <v>8.9999999999999993E-3</v>
      </c>
      <c r="K35" s="185">
        <v>90</v>
      </c>
      <c r="L35" s="189" t="e">
        <f t="shared" ref="L35" si="0">J35-(J35-J36)*(M18-I35)/(I36-I35)</f>
        <v>#VALUE!</v>
      </c>
      <c r="M35" s="158"/>
      <c r="N35" s="220"/>
      <c r="O35" s="220"/>
    </row>
    <row r="36" spans="8:15" x14ac:dyDescent="0.2">
      <c r="H36" s="158"/>
      <c r="I36" s="202" t="s">
        <v>165</v>
      </c>
      <c r="J36" s="158"/>
      <c r="K36" s="158"/>
      <c r="L36" s="227"/>
      <c r="M36" s="158"/>
      <c r="N36" s="220"/>
      <c r="O36" s="220"/>
    </row>
    <row r="37" spans="8:15" x14ac:dyDescent="0.2">
      <c r="H37" s="158"/>
      <c r="I37" s="158"/>
      <c r="J37" s="158"/>
      <c r="K37" s="158"/>
      <c r="L37" s="227"/>
      <c r="M37" s="158"/>
      <c r="N37" s="220"/>
      <c r="O37" s="220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view="pageBreakPreview" topLeftCell="A19" zoomScale="70" zoomScaleNormal="100" zoomScaleSheetLayoutView="70" workbookViewId="0">
      <selection activeCell="J43" sqref="J43"/>
    </sheetView>
  </sheetViews>
  <sheetFormatPr defaultRowHeight="15" x14ac:dyDescent="0.2"/>
  <cols>
    <col min="1" max="1" width="4.28515625" style="643" customWidth="1"/>
    <col min="2" max="2" width="50.140625" style="659" customWidth="1"/>
    <col min="3" max="3" width="15.85546875" style="643" customWidth="1"/>
    <col min="4" max="4" width="10.28515625" style="684" customWidth="1"/>
    <col min="5" max="5" width="26.140625" style="685" customWidth="1"/>
    <col min="6" max="6" width="17.42578125" style="643" customWidth="1"/>
    <col min="7" max="7" width="14.85546875" style="659" bestFit="1" customWidth="1"/>
    <col min="8" max="8" width="13.42578125" style="643" customWidth="1"/>
    <col min="9" max="9" width="12.7109375" style="643" customWidth="1"/>
    <col min="10" max="16384" width="9.140625" style="643"/>
  </cols>
  <sheetData>
    <row r="1" spans="1:27" s="490" customFormat="1" x14ac:dyDescent="0.25">
      <c r="C1" s="491"/>
      <c r="D1" s="492"/>
      <c r="E1" s="494" t="s">
        <v>22</v>
      </c>
      <c r="F1" s="493"/>
      <c r="H1" s="495"/>
      <c r="I1" s="496"/>
    </row>
    <row r="2" spans="1:27" s="490" customFormat="1" x14ac:dyDescent="0.25">
      <c r="C2" s="491"/>
      <c r="D2" s="492"/>
      <c r="E2" s="494" t="s">
        <v>83</v>
      </c>
      <c r="F2" s="493"/>
      <c r="H2" s="497"/>
      <c r="I2" s="496"/>
    </row>
    <row r="3" spans="1:27" s="490" customFormat="1" ht="15.75" x14ac:dyDescent="0.25">
      <c r="C3" s="491"/>
      <c r="D3" s="492"/>
      <c r="E3" s="498" t="s">
        <v>89</v>
      </c>
      <c r="F3" s="493"/>
      <c r="H3" s="497"/>
      <c r="I3" s="496"/>
    </row>
    <row r="4" spans="1:27" s="500" customFormat="1" ht="14.25" x14ac:dyDescent="0.2">
      <c r="A4" s="499"/>
      <c r="B4" s="499"/>
      <c r="C4" s="499"/>
      <c r="D4" s="499"/>
      <c r="E4" s="499"/>
      <c r="F4" s="499"/>
      <c r="G4" s="499"/>
      <c r="H4" s="499"/>
    </row>
    <row r="5" spans="1:27" s="490" customFormat="1" x14ac:dyDescent="0.2">
      <c r="D5" s="501"/>
      <c r="F5" s="502"/>
      <c r="G5" s="514"/>
      <c r="H5" s="503"/>
      <c r="I5" s="496"/>
    </row>
    <row r="6" spans="1:27" s="490" customFormat="1" x14ac:dyDescent="0.2">
      <c r="A6" s="1022" t="s">
        <v>498</v>
      </c>
      <c r="B6" s="1022"/>
      <c r="C6" s="1022"/>
      <c r="D6" s="1022"/>
      <c r="E6" s="1022"/>
      <c r="F6" s="1022"/>
      <c r="G6" s="491"/>
      <c r="H6" s="491"/>
      <c r="I6" s="496"/>
    </row>
    <row r="7" spans="1:27" x14ac:dyDescent="0.2">
      <c r="A7" s="641"/>
      <c r="B7" s="642"/>
      <c r="C7" s="641"/>
      <c r="D7" s="644"/>
      <c r="E7" s="645"/>
      <c r="F7" s="641"/>
      <c r="G7" s="642"/>
      <c r="H7" s="641"/>
      <c r="I7" s="641"/>
      <c r="J7" s="641"/>
      <c r="K7" s="641"/>
      <c r="L7" s="641"/>
      <c r="M7" s="641"/>
      <c r="N7" s="641"/>
      <c r="O7" s="641"/>
      <c r="P7" s="641"/>
      <c r="Q7" s="641"/>
      <c r="R7" s="641"/>
      <c r="S7" s="641"/>
      <c r="T7" s="641"/>
      <c r="U7" s="641"/>
      <c r="V7" s="641"/>
      <c r="W7" s="641"/>
      <c r="X7" s="641"/>
      <c r="Y7" s="641"/>
      <c r="Z7" s="641"/>
      <c r="AA7" s="641"/>
    </row>
    <row r="8" spans="1:27" ht="15" customHeight="1" x14ac:dyDescent="0.2">
      <c r="A8" s="1144" t="s">
        <v>413</v>
      </c>
      <c r="B8" s="1144"/>
      <c r="C8" s="1144"/>
      <c r="D8" s="1144"/>
      <c r="E8" s="1144"/>
      <c r="F8" s="1144"/>
      <c r="G8" s="646"/>
      <c r="H8" s="641"/>
      <c r="I8" s="641"/>
      <c r="J8" s="641"/>
      <c r="K8" s="641"/>
      <c r="L8" s="641"/>
      <c r="M8" s="641"/>
      <c r="N8" s="641"/>
      <c r="O8" s="641"/>
      <c r="P8" s="641"/>
      <c r="Q8" s="641"/>
      <c r="R8" s="641"/>
      <c r="S8" s="641"/>
      <c r="T8" s="641"/>
      <c r="U8" s="641"/>
      <c r="V8" s="641"/>
      <c r="W8" s="641"/>
      <c r="X8" s="641"/>
      <c r="Y8" s="641"/>
      <c r="Z8" s="641"/>
      <c r="AA8" s="641"/>
    </row>
    <row r="9" spans="1:27" x14ac:dyDescent="0.2">
      <c r="A9" s="1145"/>
      <c r="B9" s="1145"/>
      <c r="C9" s="1145"/>
      <c r="D9" s="1145"/>
      <c r="E9" s="1145"/>
      <c r="F9" s="1145"/>
      <c r="G9" s="647"/>
      <c r="H9" s="648"/>
      <c r="I9" s="648"/>
      <c r="J9" s="648"/>
      <c r="K9" s="648"/>
      <c r="L9" s="648"/>
      <c r="M9" s="648"/>
      <c r="N9" s="648"/>
      <c r="O9" s="648"/>
      <c r="P9" s="648"/>
      <c r="Q9" s="648"/>
      <c r="R9" s="648"/>
      <c r="S9" s="648"/>
    </row>
    <row r="10" spans="1:27" ht="87.75" customHeight="1" x14ac:dyDescent="0.2">
      <c r="A10" s="1146" t="s">
        <v>517</v>
      </c>
      <c r="B10" s="1146"/>
      <c r="C10" s="1146"/>
      <c r="D10" s="1146"/>
      <c r="E10" s="1146"/>
      <c r="F10" s="1146"/>
      <c r="G10" s="649"/>
      <c r="H10" s="649"/>
      <c r="I10" s="648"/>
      <c r="J10" s="648"/>
      <c r="K10" s="648"/>
      <c r="L10" s="648"/>
      <c r="M10" s="648"/>
      <c r="N10" s="648"/>
      <c r="O10" s="648"/>
      <c r="P10" s="648"/>
      <c r="Q10" s="648"/>
      <c r="R10" s="648"/>
      <c r="S10" s="648"/>
    </row>
    <row r="11" spans="1:27" ht="42.75" customHeight="1" thickBot="1" x14ac:dyDescent="0.25">
      <c r="A11" s="649"/>
      <c r="B11" s="1147" t="s">
        <v>414</v>
      </c>
      <c r="C11" s="1147"/>
      <c r="D11" s="1147"/>
      <c r="E11" s="1147"/>
      <c r="F11" s="1147"/>
      <c r="G11" s="649"/>
      <c r="H11" s="649"/>
    </row>
    <row r="12" spans="1:27" ht="42.75" customHeight="1" x14ac:dyDescent="0.2">
      <c r="A12" s="651" t="s">
        <v>49</v>
      </c>
      <c r="B12" s="652" t="s">
        <v>401</v>
      </c>
      <c r="C12" s="653" t="s">
        <v>415</v>
      </c>
      <c r="D12" s="654" t="s">
        <v>402</v>
      </c>
      <c r="E12" s="655" t="s">
        <v>403</v>
      </c>
      <c r="F12" s="656" t="s">
        <v>404</v>
      </c>
      <c r="G12" s="649"/>
      <c r="H12" s="657" t="s">
        <v>416</v>
      </c>
      <c r="I12" s="658" t="s">
        <v>417</v>
      </c>
      <c r="J12" s="658" t="s">
        <v>418</v>
      </c>
      <c r="K12" s="650" t="s">
        <v>419</v>
      </c>
    </row>
    <row r="13" spans="1:27" x14ac:dyDescent="0.2">
      <c r="A13" s="1148" t="s">
        <v>405</v>
      </c>
      <c r="B13" s="1149"/>
      <c r="C13" s="1149"/>
      <c r="D13" s="1149"/>
      <c r="E13" s="1149"/>
      <c r="F13" s="1150"/>
    </row>
    <row r="14" spans="1:27" ht="90" x14ac:dyDescent="0.2">
      <c r="A14" s="660">
        <v>1</v>
      </c>
      <c r="B14" s="788" t="s">
        <v>447</v>
      </c>
      <c r="C14" s="661" t="s">
        <v>237</v>
      </c>
      <c r="D14" s="662"/>
      <c r="E14" s="663" t="str">
        <f>CONCATENATE(H14,"+",I14,"+",J14)</f>
        <v>563104,4+27000+14058</v>
      </c>
      <c r="F14" s="687">
        <f>ROUND(H14+I14+J14+K14,2)</f>
        <v>604162.4</v>
      </c>
      <c r="H14" s="664">
        <f>Т.с.!H59</f>
        <v>563104.4</v>
      </c>
      <c r="I14" s="664">
        <f>Т.с.!H72</f>
        <v>27000</v>
      </c>
      <c r="J14" s="664">
        <f>Т.с.!H84</f>
        <v>14058</v>
      </c>
      <c r="K14" s="665"/>
    </row>
    <row r="15" spans="1:27" ht="60" x14ac:dyDescent="0.2">
      <c r="A15" s="660">
        <v>2</v>
      </c>
      <c r="B15" s="666" t="s">
        <v>448</v>
      </c>
      <c r="C15" s="661" t="s">
        <v>276</v>
      </c>
      <c r="D15" s="662"/>
      <c r="E15" s="667">
        <v>0</v>
      </c>
      <c r="F15" s="687">
        <f>'С С Р'!D24</f>
        <v>67849.2</v>
      </c>
      <c r="G15" s="688">
        <v>67849.2</v>
      </c>
    </row>
    <row r="16" spans="1:27" ht="45.75" thickBot="1" x14ac:dyDescent="0.25">
      <c r="A16" s="689">
        <v>3</v>
      </c>
      <c r="B16" s="690" t="s">
        <v>406</v>
      </c>
      <c r="C16" s="691"/>
      <c r="D16" s="692">
        <v>1</v>
      </c>
      <c r="E16" s="693"/>
      <c r="F16" s="694"/>
    </row>
    <row r="17" spans="1:13" ht="15.75" thickBot="1" x14ac:dyDescent="0.25">
      <c r="A17" s="660"/>
      <c r="B17" s="638" t="s">
        <v>420</v>
      </c>
      <c r="C17" s="668"/>
      <c r="D17" s="639"/>
      <c r="E17" s="669"/>
      <c r="F17" s="670">
        <f>F14+F15</f>
        <v>672011.6</v>
      </c>
    </row>
    <row r="18" spans="1:13" ht="75.75" thickBot="1" x14ac:dyDescent="0.25">
      <c r="A18" s="660">
        <v>4</v>
      </c>
      <c r="B18" s="638" t="s">
        <v>421</v>
      </c>
      <c r="C18" s="668" t="s">
        <v>422</v>
      </c>
      <c r="D18" s="671">
        <v>2.6499999999999999E-2</v>
      </c>
      <c r="E18" s="672" t="str">
        <f>CONCATENATE(F14,"*",D18,"*",D16)</f>
        <v>604162,4*0,0265*1</v>
      </c>
      <c r="F18" s="673">
        <f>ROUND(F14*D18*D16,2)</f>
        <v>16010.3</v>
      </c>
      <c r="H18" s="674" t="s">
        <v>424</v>
      </c>
      <c r="I18" s="675" t="s">
        <v>407</v>
      </c>
      <c r="J18" s="1141" t="s">
        <v>408</v>
      </c>
      <c r="K18" s="1142"/>
      <c r="L18" s="1142"/>
      <c r="M18" s="1143"/>
    </row>
    <row r="19" spans="1:13" ht="75.75" thickBot="1" x14ac:dyDescent="0.25">
      <c r="A19" s="660">
        <v>5</v>
      </c>
      <c r="B19" s="638" t="s">
        <v>421</v>
      </c>
      <c r="C19" s="668" t="s">
        <v>423</v>
      </c>
      <c r="D19" s="671">
        <v>2.6499999999999999E-2</v>
      </c>
      <c r="E19" s="672" t="str">
        <f>CONCATENATE(F15,"*",D19,"*",D16)</f>
        <v>67849,2*0,0265*1</v>
      </c>
      <c r="F19" s="673">
        <f>ROUND(F15*D19*D16,2)</f>
        <v>1798</v>
      </c>
      <c r="I19" s="676"/>
      <c r="J19" s="677" t="s">
        <v>409</v>
      </c>
      <c r="K19" s="677" t="s">
        <v>410</v>
      </c>
      <c r="L19" s="677" t="s">
        <v>411</v>
      </c>
      <c r="M19" s="677" t="s">
        <v>412</v>
      </c>
    </row>
    <row r="20" spans="1:13" ht="15.75" thickBot="1" x14ac:dyDescent="0.25">
      <c r="A20" s="680"/>
      <c r="B20" s="681" t="s">
        <v>425</v>
      </c>
      <c r="C20" s="682"/>
      <c r="D20" s="640"/>
      <c r="E20" s="505"/>
      <c r="F20" s="683">
        <f>F18+F19</f>
        <v>17808.3</v>
      </c>
      <c r="I20" s="678">
        <v>2018</v>
      </c>
      <c r="J20" s="679">
        <v>3.6829999999999998</v>
      </c>
      <c r="K20" s="679">
        <v>3.6989999999999998</v>
      </c>
      <c r="L20" s="679">
        <v>3.7149999999999999</v>
      </c>
      <c r="M20" s="679">
        <v>3.7389999999999999</v>
      </c>
    </row>
    <row r="21" spans="1:13" ht="15.75" thickBot="1" x14ac:dyDescent="0.25">
      <c r="F21" s="659"/>
      <c r="I21" s="678">
        <v>2019</v>
      </c>
      <c r="J21" s="679"/>
      <c r="K21" s="679"/>
      <c r="L21" s="679"/>
      <c r="M21" s="679"/>
    </row>
    <row r="22" spans="1:13" ht="15.75" customHeight="1" thickBot="1" x14ac:dyDescent="0.25">
      <c r="F22" s="659"/>
    </row>
    <row r="23" spans="1:13" ht="15.75" thickBot="1" x14ac:dyDescent="0.25">
      <c r="H23" s="643" t="s">
        <v>423</v>
      </c>
      <c r="I23" s="675" t="s">
        <v>407</v>
      </c>
      <c r="J23" s="1141" t="s">
        <v>408</v>
      </c>
      <c r="K23" s="1142"/>
      <c r="L23" s="1142"/>
      <c r="M23" s="1143"/>
    </row>
    <row r="24" spans="1:13" ht="15.75" customHeight="1" thickBot="1" x14ac:dyDescent="0.25">
      <c r="C24" s="490"/>
      <c r="D24" s="490"/>
      <c r="E24" s="686"/>
      <c r="F24" s="504"/>
      <c r="I24" s="676"/>
      <c r="J24" s="677" t="s">
        <v>409</v>
      </c>
      <c r="K24" s="677" t="s">
        <v>410</v>
      </c>
      <c r="L24" s="677" t="s">
        <v>411</v>
      </c>
      <c r="M24" s="677" t="s">
        <v>412</v>
      </c>
    </row>
    <row r="25" spans="1:13" ht="15.75" thickBot="1" x14ac:dyDescent="0.25">
      <c r="A25" s="617"/>
      <c r="B25" s="704"/>
      <c r="C25" s="705"/>
      <c r="D25" s="706"/>
      <c r="E25" s="707"/>
      <c r="F25" s="708"/>
      <c r="I25" s="678">
        <v>2018</v>
      </c>
      <c r="J25" s="679">
        <v>3.83</v>
      </c>
      <c r="K25" s="679"/>
      <c r="L25" s="679"/>
      <c r="M25" s="679"/>
    </row>
    <row r="26" spans="1:13" ht="15.75" thickBot="1" x14ac:dyDescent="0.25">
      <c r="A26" s="617"/>
      <c r="B26" s="704"/>
      <c r="C26" s="705"/>
      <c r="D26" s="706"/>
      <c r="E26" s="707"/>
      <c r="F26" s="708"/>
      <c r="I26" s="678">
        <v>2019</v>
      </c>
      <c r="J26" s="679"/>
      <c r="K26" s="679"/>
      <c r="L26" s="679"/>
      <c r="M26" s="679"/>
    </row>
    <row r="27" spans="1:13" x14ac:dyDescent="0.2">
      <c r="A27" s="617"/>
      <c r="B27" s="704"/>
      <c r="C27" s="705"/>
      <c r="D27" s="706"/>
      <c r="E27" s="707"/>
      <c r="F27" s="708"/>
      <c r="G27" s="708"/>
    </row>
    <row r="28" spans="1:13" x14ac:dyDescent="0.2">
      <c r="A28" s="617"/>
      <c r="B28" s="490"/>
      <c r="C28" s="490"/>
      <c r="D28" s="490"/>
      <c r="E28" s="504"/>
      <c r="F28" s="616"/>
      <c r="G28" s="708"/>
    </row>
    <row r="29" spans="1:13" x14ac:dyDescent="0.2">
      <c r="A29" s="617"/>
      <c r="B29" s="502"/>
      <c r="C29" s="502"/>
      <c r="D29" s="502"/>
      <c r="E29" s="504"/>
      <c r="F29" s="510"/>
      <c r="G29" s="708"/>
    </row>
    <row r="30" spans="1:13" x14ac:dyDescent="0.2">
      <c r="A30" s="617"/>
      <c r="B30" s="502"/>
      <c r="C30" s="502"/>
      <c r="D30" s="502"/>
      <c r="E30" s="504"/>
      <c r="F30" s="510"/>
    </row>
    <row r="31" spans="1:13" x14ac:dyDescent="0.2">
      <c r="A31" s="616"/>
      <c r="B31" s="490"/>
      <c r="C31" s="490"/>
      <c r="D31" s="490"/>
      <c r="E31" s="619"/>
      <c r="F31" s="617"/>
    </row>
    <row r="32" spans="1:13" x14ac:dyDescent="0.2">
      <c r="A32" s="616"/>
      <c r="B32" s="490"/>
      <c r="C32" s="490"/>
      <c r="D32" s="490"/>
      <c r="E32" s="504"/>
      <c r="F32" s="617"/>
    </row>
    <row r="33" spans="1:7" x14ac:dyDescent="0.2">
      <c r="A33" s="616"/>
      <c r="B33" s="710"/>
      <c r="C33" s="710"/>
      <c r="D33" s="711"/>
      <c r="E33" s="712"/>
      <c r="F33" s="617"/>
    </row>
    <row r="34" spans="1:7" x14ac:dyDescent="0.2">
      <c r="A34" s="616"/>
      <c r="B34" s="710"/>
      <c r="C34" s="710"/>
      <c r="D34" s="711"/>
      <c r="E34" s="713"/>
      <c r="F34" s="617"/>
    </row>
    <row r="35" spans="1:7" x14ac:dyDescent="0.2">
      <c r="A35" s="616"/>
      <c r="B35" s="710"/>
      <c r="C35" s="710"/>
      <c r="D35" s="711"/>
      <c r="E35" s="712"/>
      <c r="F35" s="617"/>
      <c r="G35" s="617"/>
    </row>
    <row r="36" spans="1:7" x14ac:dyDescent="0.2">
      <c r="A36" s="617"/>
      <c r="B36" s="704"/>
      <c r="C36" s="705"/>
      <c r="D36" s="706"/>
      <c r="E36" s="707"/>
      <c r="F36" s="445"/>
      <c r="G36" s="617"/>
    </row>
  </sheetData>
  <mergeCells count="8">
    <mergeCell ref="J18:M18"/>
    <mergeCell ref="J23:M23"/>
    <mergeCell ref="A6:F6"/>
    <mergeCell ref="A8:F8"/>
    <mergeCell ref="A9:F9"/>
    <mergeCell ref="A10:F10"/>
    <mergeCell ref="B11:F11"/>
    <mergeCell ref="A13:F13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С С Р</vt:lpstr>
      <vt:lpstr>Т.с.</vt:lpstr>
      <vt:lpstr>Геол, экол, геод</vt:lpstr>
      <vt:lpstr>Археолог</vt:lpstr>
      <vt:lpstr>ООС+Тр</vt:lpstr>
      <vt:lpstr>ПОЖ</vt:lpstr>
      <vt:lpstr>РДП</vt:lpstr>
      <vt:lpstr>СОГЛ</vt:lpstr>
      <vt:lpstr>авт надзор</vt:lpstr>
      <vt:lpstr>Т.с.!Заголовки_для_печати</vt:lpstr>
      <vt:lpstr>'авт надзор'!Область_печати</vt:lpstr>
      <vt:lpstr>Археолог!Область_печати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'С С Р'!Область_печати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В.А.</dc:creator>
  <cp:lastModifiedBy>Проскурина Наталья Сергеевна</cp:lastModifiedBy>
  <cp:lastPrinted>2019-03-04T12:48:20Z</cp:lastPrinted>
  <dcterms:created xsi:type="dcterms:W3CDTF">2004-03-03T10:32:04Z</dcterms:created>
  <dcterms:modified xsi:type="dcterms:W3CDTF">2019-04-03T08:14:59Z</dcterms:modified>
</cp:coreProperties>
</file>