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Служба нового строительства\Отдел сопровождения договоров\На закупку ОЗП\2019\08\СМР\19VP1390 КО Кокошкино, ул. Школьная\"/>
    </mc:Choice>
  </mc:AlternateContent>
  <bookViews>
    <workbookView xWindow="0" yWindow="0" windowWidth="28800" windowHeight="12885"/>
  </bookViews>
  <sheets>
    <sheet name="Смета по ТСН-2001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по ТСН-2001'!$24:$24</definedName>
    <definedName name="_xlnm.Print_Area" localSheetId="0">'Смета по ТСН-2001'!$A$1:$K$402</definedName>
  </definedNames>
  <calcPr calcId="162913"/>
</workbook>
</file>

<file path=xl/calcChain.xml><?xml version="1.0" encoding="utf-8"?>
<calcChain xmlns="http://schemas.openxmlformats.org/spreadsheetml/2006/main">
  <c r="E136" i="5" l="1"/>
  <c r="J379" i="5" l="1"/>
  <c r="J371" i="5"/>
  <c r="J17" i="5" l="1"/>
  <c r="A365" i="5"/>
  <c r="I362" i="5"/>
  <c r="J362" i="5"/>
  <c r="AL361" i="5"/>
  <c r="A361" i="5"/>
  <c r="AA359" i="5"/>
  <c r="Z359" i="5"/>
  <c r="Y359" i="5"/>
  <c r="X359" i="5"/>
  <c r="O359" i="5"/>
  <c r="H361" i="5" s="1"/>
  <c r="H359" i="5"/>
  <c r="P359" i="5"/>
  <c r="J361" i="5" s="1"/>
  <c r="J359" i="5"/>
  <c r="C358" i="5"/>
  <c r="V357" i="5"/>
  <c r="T357" i="5"/>
  <c r="R357" i="5"/>
  <c r="U357" i="5"/>
  <c r="S357" i="5"/>
  <c r="Q357" i="5"/>
  <c r="E357" i="5"/>
  <c r="D357" i="5"/>
  <c r="B357" i="5"/>
  <c r="A357" i="5"/>
  <c r="K355" i="5"/>
  <c r="J356" i="5" s="1"/>
  <c r="J355" i="5"/>
  <c r="I355" i="5"/>
  <c r="H356" i="5" s="1"/>
  <c r="H355" i="5"/>
  <c r="G355" i="5"/>
  <c r="F355" i="5"/>
  <c r="V355" i="5"/>
  <c r="T355" i="5"/>
  <c r="R355" i="5"/>
  <c r="U355" i="5"/>
  <c r="S355" i="5"/>
  <c r="Q355" i="5"/>
  <c r="E355" i="5"/>
  <c r="D355" i="5"/>
  <c r="B355" i="5"/>
  <c r="A355" i="5"/>
  <c r="A354" i="5"/>
  <c r="I352" i="5"/>
  <c r="J352" i="5"/>
  <c r="A350" i="5"/>
  <c r="Z348" i="5"/>
  <c r="Y348" i="5"/>
  <c r="X348" i="5"/>
  <c r="J348" i="5"/>
  <c r="K347" i="5"/>
  <c r="P348" i="5" s="1"/>
  <c r="J347" i="5"/>
  <c r="I347" i="5"/>
  <c r="AA348" i="5" s="1"/>
  <c r="H347" i="5"/>
  <c r="G347" i="5"/>
  <c r="F347" i="5"/>
  <c r="C346" i="5"/>
  <c r="V345" i="5"/>
  <c r="T345" i="5"/>
  <c r="R345" i="5"/>
  <c r="U345" i="5"/>
  <c r="S345" i="5"/>
  <c r="Q345" i="5"/>
  <c r="E345" i="5"/>
  <c r="D345" i="5"/>
  <c r="B345" i="5"/>
  <c r="A345" i="5"/>
  <c r="Z344" i="5"/>
  <c r="Y344" i="5"/>
  <c r="X344" i="5"/>
  <c r="K343" i="5"/>
  <c r="P344" i="5" s="1"/>
  <c r="J343" i="5"/>
  <c r="I343" i="5"/>
  <c r="AA344" i="5" s="1"/>
  <c r="H343" i="5"/>
  <c r="G343" i="5"/>
  <c r="F343" i="5"/>
  <c r="C342" i="5"/>
  <c r="V341" i="5"/>
  <c r="T341" i="5"/>
  <c r="R341" i="5"/>
  <c r="U341" i="5"/>
  <c r="S341" i="5"/>
  <c r="Q341" i="5"/>
  <c r="E341" i="5"/>
  <c r="D341" i="5"/>
  <c r="B341" i="5"/>
  <c r="A341" i="5"/>
  <c r="AA340" i="5"/>
  <c r="Z340" i="5"/>
  <c r="Y340" i="5"/>
  <c r="J339" i="5"/>
  <c r="E339" i="5"/>
  <c r="K338" i="5"/>
  <c r="J338" i="5"/>
  <c r="I338" i="5"/>
  <c r="W338" i="5" s="1"/>
  <c r="H338" i="5"/>
  <c r="G338" i="5"/>
  <c r="F338" i="5"/>
  <c r="K337" i="5"/>
  <c r="J337" i="5"/>
  <c r="I337" i="5"/>
  <c r="X340" i="5" s="1"/>
  <c r="H337" i="5"/>
  <c r="G337" i="5"/>
  <c r="F337" i="5"/>
  <c r="V336" i="5"/>
  <c r="K339" i="5" s="1"/>
  <c r="T336" i="5"/>
  <c r="R336" i="5"/>
  <c r="U336" i="5"/>
  <c r="I339" i="5" s="1"/>
  <c r="S336" i="5"/>
  <c r="Q336" i="5"/>
  <c r="E336" i="5"/>
  <c r="D336" i="5"/>
  <c r="B336" i="5"/>
  <c r="A336" i="5"/>
  <c r="Z335" i="5"/>
  <c r="Y335" i="5"/>
  <c r="X335" i="5"/>
  <c r="K334" i="5"/>
  <c r="P335" i="5" s="1"/>
  <c r="J334" i="5"/>
  <c r="I334" i="5"/>
  <c r="AA335" i="5" s="1"/>
  <c r="H334" i="5"/>
  <c r="G334" i="5"/>
  <c r="F334" i="5"/>
  <c r="C333" i="5"/>
  <c r="V332" i="5"/>
  <c r="T332" i="5"/>
  <c r="R332" i="5"/>
  <c r="U332" i="5"/>
  <c r="S332" i="5"/>
  <c r="Q332" i="5"/>
  <c r="E332" i="5"/>
  <c r="D332" i="5"/>
  <c r="B332" i="5"/>
  <c r="A332" i="5"/>
  <c r="Z331" i="5"/>
  <c r="Y331" i="5"/>
  <c r="X331" i="5"/>
  <c r="J330" i="5"/>
  <c r="I330" i="5"/>
  <c r="H331" i="5" s="1"/>
  <c r="H330" i="5"/>
  <c r="G330" i="5"/>
  <c r="F330" i="5"/>
  <c r="C329" i="5"/>
  <c r="V328" i="5"/>
  <c r="T328" i="5"/>
  <c r="R328" i="5"/>
  <c r="U328" i="5"/>
  <c r="S328" i="5"/>
  <c r="Q328" i="5"/>
  <c r="E328" i="5"/>
  <c r="D328" i="5"/>
  <c r="B328" i="5"/>
  <c r="A328" i="5"/>
  <c r="AA327" i="5"/>
  <c r="Z327" i="5"/>
  <c r="Y327" i="5"/>
  <c r="I326" i="5"/>
  <c r="H326" i="5"/>
  <c r="G326" i="5"/>
  <c r="E326" i="5"/>
  <c r="K325" i="5"/>
  <c r="J325" i="5"/>
  <c r="E325" i="5"/>
  <c r="J324" i="5"/>
  <c r="I324" i="5"/>
  <c r="E324" i="5"/>
  <c r="K323" i="5"/>
  <c r="J323" i="5"/>
  <c r="E323" i="5"/>
  <c r="K322" i="5"/>
  <c r="J322" i="5"/>
  <c r="I322" i="5"/>
  <c r="W322" i="5" s="1"/>
  <c r="H322" i="5"/>
  <c r="G322" i="5"/>
  <c r="F322" i="5"/>
  <c r="K321" i="5"/>
  <c r="J321" i="5"/>
  <c r="I321" i="5"/>
  <c r="H321" i="5"/>
  <c r="G321" i="5"/>
  <c r="F321" i="5"/>
  <c r="K320" i="5"/>
  <c r="J320" i="5"/>
  <c r="I320" i="5"/>
  <c r="H320" i="5"/>
  <c r="G320" i="5"/>
  <c r="F320" i="5"/>
  <c r="C319" i="5"/>
  <c r="V318" i="5"/>
  <c r="T318" i="5"/>
  <c r="K324" i="5" s="1"/>
  <c r="R318" i="5"/>
  <c r="U318" i="5"/>
  <c r="I325" i="5" s="1"/>
  <c r="S318" i="5"/>
  <c r="Q318" i="5"/>
  <c r="I323" i="5" s="1"/>
  <c r="E318" i="5"/>
  <c r="D318" i="5"/>
  <c r="B318" i="5"/>
  <c r="A318" i="5"/>
  <c r="AA317" i="5"/>
  <c r="Z317" i="5"/>
  <c r="Y317" i="5"/>
  <c r="I316" i="5"/>
  <c r="H316" i="5"/>
  <c r="G316" i="5"/>
  <c r="E316" i="5"/>
  <c r="J315" i="5"/>
  <c r="E315" i="5"/>
  <c r="J314" i="5"/>
  <c r="E314" i="5"/>
  <c r="J313" i="5"/>
  <c r="E313" i="5"/>
  <c r="K312" i="5"/>
  <c r="J312" i="5"/>
  <c r="H312" i="5"/>
  <c r="AA312" i="5"/>
  <c r="Z312" i="5"/>
  <c r="Y312" i="5"/>
  <c r="I312" i="5"/>
  <c r="X312" i="5" s="1"/>
  <c r="F312" i="5"/>
  <c r="V312" i="5"/>
  <c r="T312" i="5"/>
  <c r="R312" i="5"/>
  <c r="U312" i="5"/>
  <c r="S312" i="5"/>
  <c r="Q312" i="5"/>
  <c r="E312" i="5"/>
  <c r="D312" i="5"/>
  <c r="B312" i="5"/>
  <c r="A312" i="5"/>
  <c r="K311" i="5"/>
  <c r="J311" i="5"/>
  <c r="W311" i="5"/>
  <c r="I311" i="5"/>
  <c r="H311" i="5"/>
  <c r="G311" i="5"/>
  <c r="F311" i="5"/>
  <c r="K310" i="5"/>
  <c r="J310" i="5"/>
  <c r="I310" i="5"/>
  <c r="H310" i="5"/>
  <c r="G310" i="5"/>
  <c r="F310" i="5"/>
  <c r="K309" i="5"/>
  <c r="J309" i="5"/>
  <c r="I309" i="5"/>
  <c r="H309" i="5"/>
  <c r="G309" i="5"/>
  <c r="F309" i="5"/>
  <c r="C308" i="5"/>
  <c r="V307" i="5"/>
  <c r="K315" i="5" s="1"/>
  <c r="T307" i="5"/>
  <c r="K314" i="5" s="1"/>
  <c r="R307" i="5"/>
  <c r="K313" i="5" s="1"/>
  <c r="U307" i="5"/>
  <c r="I315" i="5" s="1"/>
  <c r="S307" i="5"/>
  <c r="I314" i="5" s="1"/>
  <c r="Q307" i="5"/>
  <c r="I313" i="5" s="1"/>
  <c r="E307" i="5"/>
  <c r="D307" i="5"/>
  <c r="B307" i="5"/>
  <c r="A307" i="5"/>
  <c r="AA306" i="5"/>
  <c r="Z306" i="5"/>
  <c r="Y306" i="5"/>
  <c r="K305" i="5"/>
  <c r="F305" i="5"/>
  <c r="K304" i="5"/>
  <c r="J304" i="5"/>
  <c r="H304" i="5"/>
  <c r="AA304" i="5"/>
  <c r="Z304" i="5"/>
  <c r="Y304" i="5"/>
  <c r="I304" i="5"/>
  <c r="X304" i="5" s="1"/>
  <c r="F304" i="5"/>
  <c r="V304" i="5"/>
  <c r="T304" i="5"/>
  <c r="R304" i="5"/>
  <c r="U304" i="5"/>
  <c r="S304" i="5"/>
  <c r="Q304" i="5"/>
  <c r="E304" i="5"/>
  <c r="D304" i="5"/>
  <c r="B304" i="5"/>
  <c r="A304" i="5"/>
  <c r="K303" i="5"/>
  <c r="J303" i="5"/>
  <c r="I303" i="5"/>
  <c r="H303" i="5"/>
  <c r="G303" i="5"/>
  <c r="F303" i="5"/>
  <c r="K302" i="5"/>
  <c r="J302" i="5"/>
  <c r="I302" i="5"/>
  <c r="H302" i="5"/>
  <c r="G302" i="5"/>
  <c r="F302" i="5"/>
  <c r="K301" i="5"/>
  <c r="K300" i="5" s="1"/>
  <c r="J301" i="5"/>
  <c r="I301" i="5"/>
  <c r="X306" i="5" s="1"/>
  <c r="H301" i="5"/>
  <c r="G301" i="5"/>
  <c r="F301" i="5"/>
  <c r="C299" i="5"/>
  <c r="V298" i="5"/>
  <c r="T298" i="5"/>
  <c r="R298" i="5"/>
  <c r="U298" i="5"/>
  <c r="S298" i="5"/>
  <c r="Q298" i="5"/>
  <c r="E298" i="5"/>
  <c r="D298" i="5"/>
  <c r="B298" i="5"/>
  <c r="A298" i="5"/>
  <c r="AA297" i="5"/>
  <c r="Z297" i="5"/>
  <c r="Y297" i="5"/>
  <c r="K296" i="5"/>
  <c r="J296" i="5"/>
  <c r="H296" i="5"/>
  <c r="AA296" i="5"/>
  <c r="Y296" i="5"/>
  <c r="X296" i="5"/>
  <c r="I296" i="5"/>
  <c r="Z296" i="5" s="1"/>
  <c r="F296" i="5"/>
  <c r="V296" i="5"/>
  <c r="T296" i="5"/>
  <c r="R296" i="5"/>
  <c r="U296" i="5"/>
  <c r="S296" i="5"/>
  <c r="Q296" i="5"/>
  <c r="E296" i="5"/>
  <c r="D296" i="5"/>
  <c r="B296" i="5"/>
  <c r="A296" i="5"/>
  <c r="K295" i="5"/>
  <c r="J295" i="5"/>
  <c r="I295" i="5"/>
  <c r="H295" i="5"/>
  <c r="G295" i="5"/>
  <c r="F295" i="5"/>
  <c r="K294" i="5"/>
  <c r="J294" i="5"/>
  <c r="I294" i="5"/>
  <c r="H294" i="5"/>
  <c r="G294" i="5"/>
  <c r="F294" i="5"/>
  <c r="K293" i="5"/>
  <c r="K292" i="5" s="1"/>
  <c r="J293" i="5"/>
  <c r="I293" i="5"/>
  <c r="X297" i="5" s="1"/>
  <c r="H293" i="5"/>
  <c r="G293" i="5"/>
  <c r="F293" i="5"/>
  <c r="V291" i="5"/>
  <c r="T291" i="5"/>
  <c r="R291" i="5"/>
  <c r="U291" i="5"/>
  <c r="S291" i="5"/>
  <c r="Q291" i="5"/>
  <c r="E291" i="5"/>
  <c r="D291" i="5"/>
  <c r="B291" i="5"/>
  <c r="A291" i="5"/>
  <c r="Z290" i="5"/>
  <c r="Y290" i="5"/>
  <c r="K289" i="5"/>
  <c r="F289" i="5"/>
  <c r="K288" i="5"/>
  <c r="F288" i="5"/>
  <c r="K287" i="5"/>
  <c r="J287" i="5"/>
  <c r="H287" i="5"/>
  <c r="AA287" i="5"/>
  <c r="Z287" i="5"/>
  <c r="Y287" i="5"/>
  <c r="X287" i="5"/>
  <c r="I287" i="5"/>
  <c r="F287" i="5"/>
  <c r="V287" i="5"/>
  <c r="T287" i="5"/>
  <c r="R287" i="5"/>
  <c r="U287" i="5"/>
  <c r="S287" i="5"/>
  <c r="Q287" i="5"/>
  <c r="E287" i="5"/>
  <c r="D287" i="5"/>
  <c r="B287" i="5"/>
  <c r="A287" i="5"/>
  <c r="K286" i="5"/>
  <c r="J286" i="5"/>
  <c r="H286" i="5"/>
  <c r="AA286" i="5"/>
  <c r="Z286" i="5"/>
  <c r="Y286" i="5"/>
  <c r="I286" i="5"/>
  <c r="X286" i="5" s="1"/>
  <c r="F286" i="5"/>
  <c r="V286" i="5"/>
  <c r="T286" i="5"/>
  <c r="R286" i="5"/>
  <c r="U286" i="5"/>
  <c r="S286" i="5"/>
  <c r="Q286" i="5"/>
  <c r="E286" i="5"/>
  <c r="D286" i="5"/>
  <c r="B286" i="5"/>
  <c r="A286" i="5"/>
  <c r="K285" i="5"/>
  <c r="J285" i="5"/>
  <c r="I285" i="5"/>
  <c r="AA290" i="5" s="1"/>
  <c r="G285" i="5"/>
  <c r="F285" i="5"/>
  <c r="K284" i="5"/>
  <c r="J284" i="5"/>
  <c r="I284" i="5"/>
  <c r="H284" i="5"/>
  <c r="G284" i="5"/>
  <c r="F284" i="5"/>
  <c r="K283" i="5"/>
  <c r="J283" i="5"/>
  <c r="I283" i="5"/>
  <c r="H283" i="5"/>
  <c r="G283" i="5"/>
  <c r="F283" i="5"/>
  <c r="K282" i="5"/>
  <c r="K281" i="5" s="1"/>
  <c r="J282" i="5"/>
  <c r="I282" i="5"/>
  <c r="X290" i="5" s="1"/>
  <c r="H282" i="5"/>
  <c r="G282" i="5"/>
  <c r="F282" i="5"/>
  <c r="V280" i="5"/>
  <c r="T280" i="5"/>
  <c r="R280" i="5"/>
  <c r="U280" i="5"/>
  <c r="S280" i="5"/>
  <c r="Q280" i="5"/>
  <c r="E280" i="5"/>
  <c r="D280" i="5"/>
  <c r="B280" i="5"/>
  <c r="A280" i="5"/>
  <c r="A279" i="5"/>
  <c r="I277" i="5"/>
  <c r="J277" i="5"/>
  <c r="A275" i="5"/>
  <c r="Z273" i="5"/>
  <c r="Y273" i="5"/>
  <c r="X273" i="5"/>
  <c r="J273" i="5"/>
  <c r="K272" i="5"/>
  <c r="P273" i="5" s="1"/>
  <c r="J272" i="5"/>
  <c r="I272" i="5"/>
  <c r="AA273" i="5" s="1"/>
  <c r="H272" i="5"/>
  <c r="G272" i="5"/>
  <c r="F272" i="5"/>
  <c r="V271" i="5"/>
  <c r="T271" i="5"/>
  <c r="R271" i="5"/>
  <c r="U271" i="5"/>
  <c r="S271" i="5"/>
  <c r="Q271" i="5"/>
  <c r="E271" i="5"/>
  <c r="D271" i="5"/>
  <c r="B271" i="5"/>
  <c r="A271" i="5"/>
  <c r="Z270" i="5"/>
  <c r="Y270" i="5"/>
  <c r="X270" i="5"/>
  <c r="J269" i="5"/>
  <c r="I269" i="5"/>
  <c r="H270" i="5" s="1"/>
  <c r="H269" i="5"/>
  <c r="G269" i="5"/>
  <c r="F269" i="5"/>
  <c r="V268" i="5"/>
  <c r="T268" i="5"/>
  <c r="R268" i="5"/>
  <c r="U268" i="5"/>
  <c r="S268" i="5"/>
  <c r="Q268" i="5"/>
  <c r="E268" i="5"/>
  <c r="D268" i="5"/>
  <c r="B268" i="5"/>
  <c r="A268" i="5"/>
  <c r="AA267" i="5"/>
  <c r="Z267" i="5"/>
  <c r="Y267" i="5"/>
  <c r="J266" i="5"/>
  <c r="E266" i="5"/>
  <c r="K265" i="5"/>
  <c r="J265" i="5"/>
  <c r="I265" i="5"/>
  <c r="W265" i="5" s="1"/>
  <c r="H265" i="5"/>
  <c r="G265" i="5"/>
  <c r="F265" i="5"/>
  <c r="K264" i="5"/>
  <c r="J264" i="5"/>
  <c r="I264" i="5"/>
  <c r="H264" i="5"/>
  <c r="G264" i="5"/>
  <c r="F264" i="5"/>
  <c r="C263" i="5"/>
  <c r="V262" i="5"/>
  <c r="K266" i="5" s="1"/>
  <c r="T262" i="5"/>
  <c r="R262" i="5"/>
  <c r="U262" i="5"/>
  <c r="I266" i="5" s="1"/>
  <c r="S262" i="5"/>
  <c r="Q262" i="5"/>
  <c r="E262" i="5"/>
  <c r="D262" i="5"/>
  <c r="B262" i="5"/>
  <c r="A262" i="5"/>
  <c r="AA261" i="5"/>
  <c r="Z261" i="5"/>
  <c r="Y261" i="5"/>
  <c r="I260" i="5"/>
  <c r="H260" i="5"/>
  <c r="G260" i="5"/>
  <c r="E260" i="5"/>
  <c r="J259" i="5"/>
  <c r="E259" i="5"/>
  <c r="J258" i="5"/>
  <c r="E258" i="5"/>
  <c r="J257" i="5"/>
  <c r="E257" i="5"/>
  <c r="K256" i="5"/>
  <c r="J256" i="5"/>
  <c r="H256" i="5"/>
  <c r="AA256" i="5"/>
  <c r="Z256" i="5"/>
  <c r="Y256" i="5"/>
  <c r="I256" i="5"/>
  <c r="X256" i="5" s="1"/>
  <c r="F256" i="5"/>
  <c r="V256" i="5"/>
  <c r="T256" i="5"/>
  <c r="R256" i="5"/>
  <c r="U256" i="5"/>
  <c r="S256" i="5"/>
  <c r="Q256" i="5"/>
  <c r="E256" i="5"/>
  <c r="D256" i="5"/>
  <c r="B256" i="5"/>
  <c r="A256" i="5"/>
  <c r="K255" i="5"/>
  <c r="J255" i="5"/>
  <c r="W255" i="5"/>
  <c r="I255" i="5"/>
  <c r="H255" i="5"/>
  <c r="G255" i="5"/>
  <c r="F255" i="5"/>
  <c r="K254" i="5"/>
  <c r="J254" i="5"/>
  <c r="I254" i="5"/>
  <c r="H254" i="5"/>
  <c r="G254" i="5"/>
  <c r="F254" i="5"/>
  <c r="K253" i="5"/>
  <c r="J253" i="5"/>
  <c r="I253" i="5"/>
  <c r="H253" i="5"/>
  <c r="G253" i="5"/>
  <c r="F253" i="5"/>
  <c r="C252" i="5"/>
  <c r="V251" i="5"/>
  <c r="K259" i="5" s="1"/>
  <c r="T251" i="5"/>
  <c r="K258" i="5" s="1"/>
  <c r="R251" i="5"/>
  <c r="K257" i="5" s="1"/>
  <c r="U251" i="5"/>
  <c r="I259" i="5" s="1"/>
  <c r="S251" i="5"/>
  <c r="I258" i="5" s="1"/>
  <c r="Q251" i="5"/>
  <c r="I257" i="5" s="1"/>
  <c r="E251" i="5"/>
  <c r="D251" i="5"/>
  <c r="B251" i="5"/>
  <c r="A251" i="5"/>
  <c r="AA250" i="5"/>
  <c r="Z250" i="5"/>
  <c r="Y250" i="5"/>
  <c r="I249" i="5"/>
  <c r="H249" i="5"/>
  <c r="G249" i="5"/>
  <c r="E249" i="5"/>
  <c r="J248" i="5"/>
  <c r="E248" i="5"/>
  <c r="J247" i="5"/>
  <c r="E247" i="5"/>
  <c r="K246" i="5"/>
  <c r="J246" i="5"/>
  <c r="H246" i="5"/>
  <c r="AA246" i="5"/>
  <c r="Z246" i="5"/>
  <c r="Y246" i="5"/>
  <c r="I246" i="5"/>
  <c r="X246" i="5" s="1"/>
  <c r="F246" i="5"/>
  <c r="V246" i="5"/>
  <c r="T246" i="5"/>
  <c r="R246" i="5"/>
  <c r="U246" i="5"/>
  <c r="S246" i="5"/>
  <c r="Q246" i="5"/>
  <c r="E246" i="5"/>
  <c r="D246" i="5"/>
  <c r="B246" i="5"/>
  <c r="A246" i="5"/>
  <c r="K245" i="5"/>
  <c r="J245" i="5"/>
  <c r="W245" i="5"/>
  <c r="I245" i="5"/>
  <c r="H245" i="5"/>
  <c r="G245" i="5"/>
  <c r="F245" i="5"/>
  <c r="C244" i="5"/>
  <c r="V243" i="5"/>
  <c r="T243" i="5"/>
  <c r="K248" i="5" s="1"/>
  <c r="R243" i="5"/>
  <c r="K247" i="5" s="1"/>
  <c r="U243" i="5"/>
  <c r="S243" i="5"/>
  <c r="I248" i="5" s="1"/>
  <c r="Q243" i="5"/>
  <c r="I247" i="5" s="1"/>
  <c r="E243" i="5"/>
  <c r="D243" i="5"/>
  <c r="B243" i="5"/>
  <c r="A243" i="5"/>
  <c r="AA242" i="5"/>
  <c r="Z242" i="5"/>
  <c r="Y242" i="5"/>
  <c r="H241" i="5"/>
  <c r="G241" i="5"/>
  <c r="E241" i="5"/>
  <c r="J240" i="5"/>
  <c r="E240" i="5"/>
  <c r="J239" i="5"/>
  <c r="E239" i="5"/>
  <c r="J238" i="5"/>
  <c r="E238" i="5"/>
  <c r="K237" i="5"/>
  <c r="J237" i="5"/>
  <c r="H237" i="5"/>
  <c r="AA237" i="5"/>
  <c r="Z237" i="5"/>
  <c r="Y237" i="5"/>
  <c r="I237" i="5"/>
  <c r="X237" i="5" s="1"/>
  <c r="F237" i="5"/>
  <c r="V237" i="5"/>
  <c r="T237" i="5"/>
  <c r="R237" i="5"/>
  <c r="U237" i="5"/>
  <c r="S237" i="5"/>
  <c r="Q237" i="5"/>
  <c r="E237" i="5"/>
  <c r="D237" i="5"/>
  <c r="B237" i="5"/>
  <c r="A237" i="5"/>
  <c r="K236" i="5"/>
  <c r="J236" i="5"/>
  <c r="H236" i="5"/>
  <c r="AA236" i="5"/>
  <c r="Z236" i="5"/>
  <c r="Y236" i="5"/>
  <c r="I236" i="5"/>
  <c r="X236" i="5" s="1"/>
  <c r="F236" i="5"/>
  <c r="V236" i="5"/>
  <c r="T236" i="5"/>
  <c r="R236" i="5"/>
  <c r="U236" i="5"/>
  <c r="S236" i="5"/>
  <c r="Q236" i="5"/>
  <c r="E236" i="5"/>
  <c r="D236" i="5"/>
  <c r="B236" i="5"/>
  <c r="A236" i="5"/>
  <c r="J235" i="5"/>
  <c r="H235" i="5"/>
  <c r="G235" i="5"/>
  <c r="F235" i="5"/>
  <c r="J234" i="5"/>
  <c r="H234" i="5"/>
  <c r="G234" i="5"/>
  <c r="F234" i="5"/>
  <c r="K233" i="5"/>
  <c r="J233" i="5"/>
  <c r="W233" i="5"/>
  <c r="I233" i="5"/>
  <c r="H233" i="5"/>
  <c r="G233" i="5"/>
  <c r="F233" i="5"/>
  <c r="C232" i="5"/>
  <c r="T231" i="5"/>
  <c r="K239" i="5" s="1"/>
  <c r="R231" i="5"/>
  <c r="K238" i="5" s="1"/>
  <c r="S231" i="5"/>
  <c r="I239" i="5" s="1"/>
  <c r="Q231" i="5"/>
  <c r="E231" i="5"/>
  <c r="D231" i="5"/>
  <c r="B231" i="5"/>
  <c r="A231" i="5"/>
  <c r="AA230" i="5"/>
  <c r="Z230" i="5"/>
  <c r="Y230" i="5"/>
  <c r="K229" i="5"/>
  <c r="J229" i="5"/>
  <c r="I229" i="5"/>
  <c r="H229" i="5"/>
  <c r="G229" i="5"/>
  <c r="F229" i="5"/>
  <c r="J228" i="5"/>
  <c r="I228" i="5"/>
  <c r="H228" i="5"/>
  <c r="G228" i="5"/>
  <c r="F228" i="5"/>
  <c r="K227" i="5"/>
  <c r="J227" i="5"/>
  <c r="I227" i="5"/>
  <c r="H227" i="5"/>
  <c r="G227" i="5"/>
  <c r="F227" i="5"/>
  <c r="V225" i="5"/>
  <c r="T225" i="5"/>
  <c r="R225" i="5"/>
  <c r="U225" i="5"/>
  <c r="S225" i="5"/>
  <c r="Q225" i="5"/>
  <c r="E225" i="5"/>
  <c r="D225" i="5"/>
  <c r="B225" i="5"/>
  <c r="A225" i="5"/>
  <c r="A224" i="5"/>
  <c r="I222" i="5"/>
  <c r="J222" i="5"/>
  <c r="A220" i="5"/>
  <c r="Z218" i="5"/>
  <c r="Y218" i="5"/>
  <c r="X218" i="5"/>
  <c r="K217" i="5"/>
  <c r="J218" i="5" s="1"/>
  <c r="J217" i="5"/>
  <c r="I217" i="5"/>
  <c r="H218" i="5" s="1"/>
  <c r="H217" i="5"/>
  <c r="G217" i="5"/>
  <c r="F217" i="5"/>
  <c r="C216" i="5"/>
  <c r="V215" i="5"/>
  <c r="T215" i="5"/>
  <c r="R215" i="5"/>
  <c r="U215" i="5"/>
  <c r="S215" i="5"/>
  <c r="Q215" i="5"/>
  <c r="E215" i="5"/>
  <c r="D215" i="5"/>
  <c r="B215" i="5"/>
  <c r="A215" i="5"/>
  <c r="Z214" i="5"/>
  <c r="Y214" i="5"/>
  <c r="X214" i="5"/>
  <c r="J213" i="5"/>
  <c r="I213" i="5"/>
  <c r="AA214" i="5" s="1"/>
  <c r="H213" i="5"/>
  <c r="G213" i="5"/>
  <c r="F213" i="5"/>
  <c r="C212" i="5"/>
  <c r="V211" i="5"/>
  <c r="T211" i="5"/>
  <c r="R211" i="5"/>
  <c r="U211" i="5"/>
  <c r="S211" i="5"/>
  <c r="Q211" i="5"/>
  <c r="E211" i="5"/>
  <c r="D211" i="5"/>
  <c r="B211" i="5"/>
  <c r="A211" i="5"/>
  <c r="AA210" i="5"/>
  <c r="Z210" i="5"/>
  <c r="Y210" i="5"/>
  <c r="I209" i="5"/>
  <c r="H209" i="5"/>
  <c r="G209" i="5"/>
  <c r="E209" i="5"/>
  <c r="J208" i="5"/>
  <c r="E208" i="5"/>
  <c r="J207" i="5"/>
  <c r="E207" i="5"/>
  <c r="J206" i="5"/>
  <c r="E206" i="5"/>
  <c r="K205" i="5"/>
  <c r="J205" i="5"/>
  <c r="I205" i="5"/>
  <c r="W205" i="5" s="1"/>
  <c r="H205" i="5"/>
  <c r="G205" i="5"/>
  <c r="F205" i="5"/>
  <c r="K204" i="5"/>
  <c r="J204" i="5"/>
  <c r="I204" i="5"/>
  <c r="H204" i="5"/>
  <c r="G204" i="5"/>
  <c r="F204" i="5"/>
  <c r="K203" i="5"/>
  <c r="J203" i="5"/>
  <c r="W203" i="5"/>
  <c r="I203" i="5"/>
  <c r="H203" i="5"/>
  <c r="G203" i="5"/>
  <c r="F203" i="5"/>
  <c r="C202" i="5"/>
  <c r="V201" i="5"/>
  <c r="K208" i="5" s="1"/>
  <c r="T201" i="5"/>
  <c r="K207" i="5" s="1"/>
  <c r="R201" i="5"/>
  <c r="K206" i="5" s="1"/>
  <c r="U201" i="5"/>
  <c r="I208" i="5" s="1"/>
  <c r="S201" i="5"/>
  <c r="I207" i="5" s="1"/>
  <c r="Q201" i="5"/>
  <c r="I206" i="5" s="1"/>
  <c r="E201" i="5"/>
  <c r="D201" i="5"/>
  <c r="B201" i="5"/>
  <c r="A201" i="5"/>
  <c r="Z200" i="5"/>
  <c r="Y200" i="5"/>
  <c r="K199" i="5"/>
  <c r="F199" i="5"/>
  <c r="K198" i="5"/>
  <c r="J198" i="5"/>
  <c r="H198" i="5"/>
  <c r="AA198" i="5"/>
  <c r="Z198" i="5"/>
  <c r="Y198" i="5"/>
  <c r="X198" i="5"/>
  <c r="I198" i="5"/>
  <c r="F198" i="5"/>
  <c r="V198" i="5"/>
  <c r="T198" i="5"/>
  <c r="R198" i="5"/>
  <c r="U198" i="5"/>
  <c r="S198" i="5"/>
  <c r="Q198" i="5"/>
  <c r="E198" i="5"/>
  <c r="D198" i="5"/>
  <c r="B198" i="5"/>
  <c r="A198" i="5"/>
  <c r="K197" i="5"/>
  <c r="J197" i="5"/>
  <c r="I197" i="5"/>
  <c r="AA200" i="5" s="1"/>
  <c r="G197" i="5"/>
  <c r="F197" i="5"/>
  <c r="K196" i="5"/>
  <c r="J196" i="5"/>
  <c r="I196" i="5"/>
  <c r="H196" i="5"/>
  <c r="G196" i="5"/>
  <c r="F196" i="5"/>
  <c r="K195" i="5"/>
  <c r="J195" i="5"/>
  <c r="I195" i="5"/>
  <c r="H195" i="5"/>
  <c r="G195" i="5"/>
  <c r="F195" i="5"/>
  <c r="K194" i="5"/>
  <c r="AD200" i="5" s="1"/>
  <c r="J194" i="5"/>
  <c r="I194" i="5"/>
  <c r="AC200" i="5" s="1"/>
  <c r="H194" i="5"/>
  <c r="G194" i="5"/>
  <c r="F194" i="5"/>
  <c r="V192" i="5"/>
  <c r="T192" i="5"/>
  <c r="R192" i="5"/>
  <c r="U192" i="5"/>
  <c r="S192" i="5"/>
  <c r="Q192" i="5"/>
  <c r="E192" i="5"/>
  <c r="D192" i="5"/>
  <c r="B192" i="5"/>
  <c r="A192" i="5"/>
  <c r="AA191" i="5"/>
  <c r="Z191" i="5"/>
  <c r="Y191" i="5"/>
  <c r="K190" i="5"/>
  <c r="J190" i="5"/>
  <c r="I190" i="5"/>
  <c r="H190" i="5"/>
  <c r="G190" i="5"/>
  <c r="F190" i="5"/>
  <c r="K189" i="5"/>
  <c r="J189" i="5"/>
  <c r="I189" i="5"/>
  <c r="H189" i="5"/>
  <c r="G189" i="5"/>
  <c r="F189" i="5"/>
  <c r="K188" i="5"/>
  <c r="AD191" i="5" s="1"/>
  <c r="J221" i="5" s="1"/>
  <c r="J188" i="5"/>
  <c r="I188" i="5"/>
  <c r="AC191" i="5" s="1"/>
  <c r="H221" i="5" s="1"/>
  <c r="H188" i="5"/>
  <c r="G188" i="5"/>
  <c r="F188" i="5"/>
  <c r="V186" i="5"/>
  <c r="T186" i="5"/>
  <c r="R186" i="5"/>
  <c r="U186" i="5"/>
  <c r="S186" i="5"/>
  <c r="Q186" i="5"/>
  <c r="E186" i="5"/>
  <c r="D186" i="5"/>
  <c r="B186" i="5"/>
  <c r="A186" i="5"/>
  <c r="A185" i="5"/>
  <c r="I183" i="5"/>
  <c r="J183" i="5"/>
  <c r="A181" i="5"/>
  <c r="Z179" i="5"/>
  <c r="Y179" i="5"/>
  <c r="X179" i="5"/>
  <c r="K178" i="5"/>
  <c r="P179" i="5" s="1"/>
  <c r="J178" i="5"/>
  <c r="I178" i="5"/>
  <c r="AA179" i="5" s="1"/>
  <c r="H178" i="5"/>
  <c r="G178" i="5"/>
  <c r="F178" i="5"/>
  <c r="V177" i="5"/>
  <c r="T177" i="5"/>
  <c r="R177" i="5"/>
  <c r="U177" i="5"/>
  <c r="S177" i="5"/>
  <c r="Q177" i="5"/>
  <c r="E177" i="5"/>
  <c r="D177" i="5"/>
  <c r="B177" i="5"/>
  <c r="A177" i="5"/>
  <c r="Z176" i="5"/>
  <c r="Y176" i="5"/>
  <c r="X176" i="5"/>
  <c r="K175" i="5"/>
  <c r="P176" i="5" s="1"/>
  <c r="J175" i="5"/>
  <c r="I175" i="5"/>
  <c r="AA176" i="5" s="1"/>
  <c r="H175" i="5"/>
  <c r="G175" i="5"/>
  <c r="F175" i="5"/>
  <c r="V174" i="5"/>
  <c r="T174" i="5"/>
  <c r="R174" i="5"/>
  <c r="U174" i="5"/>
  <c r="S174" i="5"/>
  <c r="Q174" i="5"/>
  <c r="E174" i="5"/>
  <c r="D174" i="5"/>
  <c r="B174" i="5"/>
  <c r="A174" i="5"/>
  <c r="Z173" i="5"/>
  <c r="Y173" i="5"/>
  <c r="X173" i="5"/>
  <c r="K172" i="5"/>
  <c r="P173" i="5" s="1"/>
  <c r="J172" i="5"/>
  <c r="I172" i="5"/>
  <c r="AA173" i="5" s="1"/>
  <c r="H172" i="5"/>
  <c r="G172" i="5"/>
  <c r="F172" i="5"/>
  <c r="C171" i="5"/>
  <c r="V170" i="5"/>
  <c r="T170" i="5"/>
  <c r="R170" i="5"/>
  <c r="U170" i="5"/>
  <c r="S170" i="5"/>
  <c r="Q170" i="5"/>
  <c r="E170" i="5"/>
  <c r="D170" i="5"/>
  <c r="B170" i="5"/>
  <c r="A170" i="5"/>
  <c r="Z169" i="5"/>
  <c r="Y169" i="5"/>
  <c r="X169" i="5"/>
  <c r="J168" i="5"/>
  <c r="I168" i="5"/>
  <c r="H169" i="5" s="1"/>
  <c r="H168" i="5"/>
  <c r="G168" i="5"/>
  <c r="F168" i="5"/>
  <c r="C167" i="5"/>
  <c r="V166" i="5"/>
  <c r="T166" i="5"/>
  <c r="R166" i="5"/>
  <c r="U166" i="5"/>
  <c r="S166" i="5"/>
  <c r="Q166" i="5"/>
  <c r="E166" i="5"/>
  <c r="D166" i="5"/>
  <c r="B166" i="5"/>
  <c r="A166" i="5"/>
  <c r="AA165" i="5"/>
  <c r="Z165" i="5"/>
  <c r="Y165" i="5"/>
  <c r="I164" i="5"/>
  <c r="H164" i="5"/>
  <c r="G164" i="5"/>
  <c r="E164" i="5"/>
  <c r="J163" i="5"/>
  <c r="E163" i="5"/>
  <c r="J162" i="5"/>
  <c r="E162" i="5"/>
  <c r="J161" i="5"/>
  <c r="E161" i="5"/>
  <c r="K160" i="5"/>
  <c r="J160" i="5"/>
  <c r="W160" i="5"/>
  <c r="I160" i="5"/>
  <c r="H160" i="5"/>
  <c r="G160" i="5"/>
  <c r="F160" i="5"/>
  <c r="K159" i="5"/>
  <c r="J159" i="5"/>
  <c r="I159" i="5"/>
  <c r="H159" i="5"/>
  <c r="G159" i="5"/>
  <c r="F159" i="5"/>
  <c r="K158" i="5"/>
  <c r="J158" i="5"/>
  <c r="I158" i="5"/>
  <c r="W158" i="5" s="1"/>
  <c r="H158" i="5"/>
  <c r="G158" i="5"/>
  <c r="F158" i="5"/>
  <c r="C157" i="5"/>
  <c r="V156" i="5"/>
  <c r="K163" i="5" s="1"/>
  <c r="T156" i="5"/>
  <c r="K162" i="5" s="1"/>
  <c r="R156" i="5"/>
  <c r="K161" i="5" s="1"/>
  <c r="U156" i="5"/>
  <c r="I163" i="5" s="1"/>
  <c r="S156" i="5"/>
  <c r="I162" i="5" s="1"/>
  <c r="Q156" i="5"/>
  <c r="I161" i="5" s="1"/>
  <c r="E156" i="5"/>
  <c r="D156" i="5"/>
  <c r="B156" i="5"/>
  <c r="A156" i="5"/>
  <c r="AA155" i="5"/>
  <c r="Z155" i="5"/>
  <c r="Y155" i="5"/>
  <c r="K154" i="5"/>
  <c r="F154" i="5"/>
  <c r="K153" i="5"/>
  <c r="J153" i="5"/>
  <c r="H153" i="5"/>
  <c r="AA153" i="5"/>
  <c r="Z153" i="5"/>
  <c r="Y153" i="5"/>
  <c r="I153" i="5"/>
  <c r="X153" i="5" s="1"/>
  <c r="F153" i="5"/>
  <c r="V153" i="5"/>
  <c r="T153" i="5"/>
  <c r="R153" i="5"/>
  <c r="U153" i="5"/>
  <c r="S153" i="5"/>
  <c r="Q153" i="5"/>
  <c r="E153" i="5"/>
  <c r="D153" i="5"/>
  <c r="B153" i="5"/>
  <c r="A153" i="5"/>
  <c r="K152" i="5"/>
  <c r="J152" i="5"/>
  <c r="I152" i="5"/>
  <c r="H152" i="5"/>
  <c r="G152" i="5"/>
  <c r="F152" i="5"/>
  <c r="K151" i="5"/>
  <c r="J151" i="5"/>
  <c r="I151" i="5"/>
  <c r="H151" i="5"/>
  <c r="G151" i="5"/>
  <c r="F151" i="5"/>
  <c r="K150" i="5"/>
  <c r="K149" i="5" s="1"/>
  <c r="J150" i="5"/>
  <c r="I150" i="5"/>
  <c r="X155" i="5" s="1"/>
  <c r="H150" i="5"/>
  <c r="G150" i="5"/>
  <c r="F150" i="5"/>
  <c r="C148" i="5"/>
  <c r="V147" i="5"/>
  <c r="T147" i="5"/>
  <c r="R147" i="5"/>
  <c r="U147" i="5"/>
  <c r="S147" i="5"/>
  <c r="Q147" i="5"/>
  <c r="E147" i="5"/>
  <c r="D147" i="5"/>
  <c r="B147" i="5"/>
  <c r="A147" i="5"/>
  <c r="AA146" i="5"/>
  <c r="Z146" i="5"/>
  <c r="Y146" i="5"/>
  <c r="X146" i="5"/>
  <c r="H146" i="5"/>
  <c r="J146" i="5"/>
  <c r="K145" i="5"/>
  <c r="J145" i="5"/>
  <c r="I145" i="5"/>
  <c r="H145" i="5"/>
  <c r="G145" i="5"/>
  <c r="F145" i="5"/>
  <c r="K144" i="5"/>
  <c r="J144" i="5"/>
  <c r="I144" i="5"/>
  <c r="H144" i="5"/>
  <c r="G144" i="5"/>
  <c r="F144" i="5"/>
  <c r="K143" i="5"/>
  <c r="AD146" i="5" s="1"/>
  <c r="J143" i="5"/>
  <c r="I143" i="5"/>
  <c r="AC146" i="5" s="1"/>
  <c r="H143" i="5"/>
  <c r="G143" i="5"/>
  <c r="F143" i="5"/>
  <c r="V141" i="5"/>
  <c r="T141" i="5"/>
  <c r="R141" i="5"/>
  <c r="U141" i="5"/>
  <c r="S141" i="5"/>
  <c r="Q141" i="5"/>
  <c r="E141" i="5"/>
  <c r="D141" i="5"/>
  <c r="B141" i="5"/>
  <c r="A141" i="5"/>
  <c r="Z140" i="5"/>
  <c r="Y140" i="5"/>
  <c r="K139" i="5"/>
  <c r="F139" i="5"/>
  <c r="K138" i="5"/>
  <c r="F138" i="5"/>
  <c r="K137" i="5"/>
  <c r="J137" i="5"/>
  <c r="H137" i="5"/>
  <c r="AA137" i="5"/>
  <c r="Z137" i="5"/>
  <c r="Y137" i="5"/>
  <c r="I137" i="5"/>
  <c r="X137" i="5" s="1"/>
  <c r="F137" i="5"/>
  <c r="V137" i="5"/>
  <c r="T137" i="5"/>
  <c r="R137" i="5"/>
  <c r="U137" i="5"/>
  <c r="S137" i="5"/>
  <c r="Q137" i="5"/>
  <c r="E137" i="5"/>
  <c r="D137" i="5"/>
  <c r="B137" i="5"/>
  <c r="A137" i="5"/>
  <c r="K136" i="5"/>
  <c r="J136" i="5"/>
  <c r="H136" i="5"/>
  <c r="AA136" i="5"/>
  <c r="Z136" i="5"/>
  <c r="Y136" i="5"/>
  <c r="I136" i="5"/>
  <c r="X136" i="5" s="1"/>
  <c r="F136" i="5"/>
  <c r="V136" i="5"/>
  <c r="T136" i="5"/>
  <c r="R136" i="5"/>
  <c r="U136" i="5"/>
  <c r="S136" i="5"/>
  <c r="Q136" i="5"/>
  <c r="D136" i="5"/>
  <c r="B136" i="5"/>
  <c r="A136" i="5"/>
  <c r="K135" i="5"/>
  <c r="J135" i="5"/>
  <c r="I135" i="5"/>
  <c r="AA140" i="5" s="1"/>
  <c r="G135" i="5"/>
  <c r="F135" i="5"/>
  <c r="K134" i="5"/>
  <c r="J134" i="5"/>
  <c r="I134" i="5"/>
  <c r="H134" i="5"/>
  <c r="G134" i="5"/>
  <c r="F134" i="5"/>
  <c r="K133" i="5"/>
  <c r="J133" i="5"/>
  <c r="I133" i="5"/>
  <c r="H133" i="5"/>
  <c r="G133" i="5"/>
  <c r="F133" i="5"/>
  <c r="K132" i="5"/>
  <c r="K131" i="5" s="1"/>
  <c r="J132" i="5"/>
  <c r="I132" i="5"/>
  <c r="X140" i="5" s="1"/>
  <c r="H132" i="5"/>
  <c r="G132" i="5"/>
  <c r="F132" i="5"/>
  <c r="V130" i="5"/>
  <c r="T130" i="5"/>
  <c r="R130" i="5"/>
  <c r="U130" i="5"/>
  <c r="S130" i="5"/>
  <c r="Q130" i="5"/>
  <c r="E130" i="5"/>
  <c r="D130" i="5"/>
  <c r="B130" i="5"/>
  <c r="A130" i="5"/>
  <c r="A129" i="5"/>
  <c r="I127" i="5"/>
  <c r="J127" i="5"/>
  <c r="AL125" i="5"/>
  <c r="A125" i="5"/>
  <c r="Z123" i="5"/>
  <c r="Y123" i="5"/>
  <c r="X123" i="5"/>
  <c r="K122" i="5"/>
  <c r="P123" i="5" s="1"/>
  <c r="J122" i="5"/>
  <c r="I122" i="5"/>
  <c r="AA123" i="5" s="1"/>
  <c r="H122" i="5"/>
  <c r="G122" i="5"/>
  <c r="F122" i="5"/>
  <c r="V121" i="5"/>
  <c r="T121" i="5"/>
  <c r="R121" i="5"/>
  <c r="U121" i="5"/>
  <c r="S121" i="5"/>
  <c r="Q121" i="5"/>
  <c r="E121" i="5"/>
  <c r="D121" i="5"/>
  <c r="B121" i="5"/>
  <c r="A121" i="5"/>
  <c r="Z120" i="5"/>
  <c r="Y120" i="5"/>
  <c r="X120" i="5"/>
  <c r="J120" i="5"/>
  <c r="K119" i="5"/>
  <c r="P120" i="5" s="1"/>
  <c r="J119" i="5"/>
  <c r="I119" i="5"/>
  <c r="AA120" i="5" s="1"/>
  <c r="H119" i="5"/>
  <c r="G119" i="5"/>
  <c r="F119" i="5"/>
  <c r="V118" i="5"/>
  <c r="T118" i="5"/>
  <c r="R118" i="5"/>
  <c r="U118" i="5"/>
  <c r="S118" i="5"/>
  <c r="Q118" i="5"/>
  <c r="E118" i="5"/>
  <c r="D118" i="5"/>
  <c r="B118" i="5"/>
  <c r="A118" i="5"/>
  <c r="Z117" i="5"/>
  <c r="Y117" i="5"/>
  <c r="X117" i="5"/>
  <c r="K116" i="5"/>
  <c r="J117" i="5" s="1"/>
  <c r="J116" i="5"/>
  <c r="I116" i="5"/>
  <c r="H117" i="5" s="1"/>
  <c r="H116" i="5"/>
  <c r="G116" i="5"/>
  <c r="F116" i="5"/>
  <c r="C115" i="5"/>
  <c r="V114" i="5"/>
  <c r="T114" i="5"/>
  <c r="R114" i="5"/>
  <c r="U114" i="5"/>
  <c r="S114" i="5"/>
  <c r="Q114" i="5"/>
  <c r="E114" i="5"/>
  <c r="D114" i="5"/>
  <c r="B114" i="5"/>
  <c r="A114" i="5"/>
  <c r="Z113" i="5"/>
  <c r="Y113" i="5"/>
  <c r="X113" i="5"/>
  <c r="J112" i="5"/>
  <c r="I112" i="5"/>
  <c r="AA113" i="5" s="1"/>
  <c r="H112" i="5"/>
  <c r="G112" i="5"/>
  <c r="F112" i="5"/>
  <c r="C111" i="5"/>
  <c r="V110" i="5"/>
  <c r="T110" i="5"/>
  <c r="R110" i="5"/>
  <c r="U110" i="5"/>
  <c r="S110" i="5"/>
  <c r="Q110" i="5"/>
  <c r="E110" i="5"/>
  <c r="D110" i="5"/>
  <c r="B110" i="5"/>
  <c r="A110" i="5"/>
  <c r="AA109" i="5"/>
  <c r="Z109" i="5"/>
  <c r="Y109" i="5"/>
  <c r="I108" i="5"/>
  <c r="H108" i="5"/>
  <c r="G108" i="5"/>
  <c r="E108" i="5"/>
  <c r="J107" i="5"/>
  <c r="E107" i="5"/>
  <c r="J106" i="5"/>
  <c r="E106" i="5"/>
  <c r="J105" i="5"/>
  <c r="E105" i="5"/>
  <c r="K104" i="5"/>
  <c r="J104" i="5"/>
  <c r="I104" i="5"/>
  <c r="W104" i="5" s="1"/>
  <c r="H104" i="5"/>
  <c r="G104" i="5"/>
  <c r="F104" i="5"/>
  <c r="K103" i="5"/>
  <c r="J103" i="5"/>
  <c r="I103" i="5"/>
  <c r="H103" i="5"/>
  <c r="G103" i="5"/>
  <c r="F103" i="5"/>
  <c r="K102" i="5"/>
  <c r="J102" i="5"/>
  <c r="W102" i="5"/>
  <c r="I102" i="5"/>
  <c r="H102" i="5"/>
  <c r="G102" i="5"/>
  <c r="F102" i="5"/>
  <c r="C101" i="5"/>
  <c r="V100" i="5"/>
  <c r="K107" i="5" s="1"/>
  <c r="T100" i="5"/>
  <c r="K106" i="5" s="1"/>
  <c r="R100" i="5"/>
  <c r="K105" i="5" s="1"/>
  <c r="U100" i="5"/>
  <c r="I107" i="5" s="1"/>
  <c r="S100" i="5"/>
  <c r="I106" i="5" s="1"/>
  <c r="Q100" i="5"/>
  <c r="I105" i="5" s="1"/>
  <c r="E100" i="5"/>
  <c r="D100" i="5"/>
  <c r="B100" i="5"/>
  <c r="A100" i="5"/>
  <c r="AA99" i="5"/>
  <c r="Z99" i="5"/>
  <c r="Y99" i="5"/>
  <c r="I98" i="5"/>
  <c r="H98" i="5"/>
  <c r="G98" i="5"/>
  <c r="E98" i="5"/>
  <c r="J97" i="5"/>
  <c r="E97" i="5"/>
  <c r="J96" i="5"/>
  <c r="E96" i="5"/>
  <c r="J95" i="5"/>
  <c r="E95" i="5"/>
  <c r="K94" i="5"/>
  <c r="J94" i="5"/>
  <c r="H94" i="5"/>
  <c r="AA94" i="5"/>
  <c r="Z94" i="5"/>
  <c r="Y94" i="5"/>
  <c r="I94" i="5"/>
  <c r="X94" i="5" s="1"/>
  <c r="F94" i="5"/>
  <c r="V94" i="5"/>
  <c r="T94" i="5"/>
  <c r="R94" i="5"/>
  <c r="U94" i="5"/>
  <c r="S94" i="5"/>
  <c r="Q94" i="5"/>
  <c r="E94" i="5"/>
  <c r="D94" i="5"/>
  <c r="B94" i="5"/>
  <c r="A94" i="5"/>
  <c r="K93" i="5"/>
  <c r="J93" i="5"/>
  <c r="I93" i="5"/>
  <c r="H93" i="5"/>
  <c r="G93" i="5"/>
  <c r="F93" i="5"/>
  <c r="K92" i="5"/>
  <c r="J92" i="5"/>
  <c r="I92" i="5"/>
  <c r="W92" i="5" s="1"/>
  <c r="H92" i="5"/>
  <c r="G92" i="5"/>
  <c r="F92" i="5"/>
  <c r="K91" i="5"/>
  <c r="J91" i="5"/>
  <c r="I91" i="5"/>
  <c r="H91" i="5"/>
  <c r="G91" i="5"/>
  <c r="F91" i="5"/>
  <c r="K90" i="5"/>
  <c r="J90" i="5"/>
  <c r="W90" i="5"/>
  <c r="I90" i="5"/>
  <c r="H90" i="5"/>
  <c r="G90" i="5"/>
  <c r="F90" i="5"/>
  <c r="V89" i="5"/>
  <c r="K97" i="5" s="1"/>
  <c r="T89" i="5"/>
  <c r="K96" i="5" s="1"/>
  <c r="R89" i="5"/>
  <c r="K95" i="5" s="1"/>
  <c r="U89" i="5"/>
  <c r="I97" i="5" s="1"/>
  <c r="S89" i="5"/>
  <c r="I96" i="5" s="1"/>
  <c r="Q89" i="5"/>
  <c r="I95" i="5" s="1"/>
  <c r="E89" i="5"/>
  <c r="D89" i="5"/>
  <c r="B89" i="5"/>
  <c r="A89" i="5"/>
  <c r="AA88" i="5"/>
  <c r="Z88" i="5"/>
  <c r="Y88" i="5"/>
  <c r="K87" i="5"/>
  <c r="F87" i="5"/>
  <c r="K86" i="5"/>
  <c r="F86" i="5"/>
  <c r="K85" i="5"/>
  <c r="J85" i="5"/>
  <c r="H85" i="5"/>
  <c r="AA85" i="5"/>
  <c r="Z85" i="5"/>
  <c r="Y85" i="5"/>
  <c r="I85" i="5"/>
  <c r="X85" i="5" s="1"/>
  <c r="F85" i="5"/>
  <c r="V85" i="5"/>
  <c r="T85" i="5"/>
  <c r="R85" i="5"/>
  <c r="U85" i="5"/>
  <c r="S85" i="5"/>
  <c r="Q85" i="5"/>
  <c r="E85" i="5"/>
  <c r="D85" i="5"/>
  <c r="B85" i="5"/>
  <c r="A85" i="5"/>
  <c r="K84" i="5"/>
  <c r="J84" i="5"/>
  <c r="H84" i="5"/>
  <c r="AA84" i="5"/>
  <c r="Z84" i="5"/>
  <c r="Y84" i="5"/>
  <c r="X84" i="5"/>
  <c r="I84" i="5"/>
  <c r="F84" i="5"/>
  <c r="V84" i="5"/>
  <c r="T84" i="5"/>
  <c r="R84" i="5"/>
  <c r="U84" i="5"/>
  <c r="S84" i="5"/>
  <c r="Q84" i="5"/>
  <c r="E84" i="5"/>
  <c r="D84" i="5"/>
  <c r="B84" i="5"/>
  <c r="A84" i="5"/>
  <c r="K83" i="5"/>
  <c r="J83" i="5"/>
  <c r="H83" i="5"/>
  <c r="AA83" i="5"/>
  <c r="Z83" i="5"/>
  <c r="Y83" i="5"/>
  <c r="I83" i="5"/>
  <c r="X83" i="5" s="1"/>
  <c r="F83" i="5"/>
  <c r="V83" i="5"/>
  <c r="T83" i="5"/>
  <c r="R83" i="5"/>
  <c r="U83" i="5"/>
  <c r="S83" i="5"/>
  <c r="Q83" i="5"/>
  <c r="E83" i="5"/>
  <c r="D83" i="5"/>
  <c r="B83" i="5"/>
  <c r="A83" i="5"/>
  <c r="K82" i="5"/>
  <c r="J82" i="5"/>
  <c r="H82" i="5"/>
  <c r="AA82" i="5"/>
  <c r="Z82" i="5"/>
  <c r="Y82" i="5"/>
  <c r="I82" i="5"/>
  <c r="X82" i="5" s="1"/>
  <c r="F82" i="5"/>
  <c r="V82" i="5"/>
  <c r="T82" i="5"/>
  <c r="R82" i="5"/>
  <c r="U82" i="5"/>
  <c r="S82" i="5"/>
  <c r="Q82" i="5"/>
  <c r="E82" i="5"/>
  <c r="D82" i="5"/>
  <c r="B82" i="5"/>
  <c r="A82" i="5"/>
  <c r="K81" i="5"/>
  <c r="J81" i="5"/>
  <c r="I81" i="5"/>
  <c r="H81" i="5"/>
  <c r="G81" i="5"/>
  <c r="F81" i="5"/>
  <c r="K80" i="5"/>
  <c r="J80" i="5"/>
  <c r="I80" i="5"/>
  <c r="H80" i="5"/>
  <c r="G80" i="5"/>
  <c r="F80" i="5"/>
  <c r="K79" i="5"/>
  <c r="AD88" i="5" s="1"/>
  <c r="J126" i="5" s="1"/>
  <c r="J79" i="5"/>
  <c r="I79" i="5"/>
  <c r="AC88" i="5" s="1"/>
  <c r="H126" i="5" s="1"/>
  <c r="H79" i="5"/>
  <c r="G79" i="5"/>
  <c r="F79" i="5"/>
  <c r="V77" i="5"/>
  <c r="T77" i="5"/>
  <c r="R77" i="5"/>
  <c r="U77" i="5"/>
  <c r="S77" i="5"/>
  <c r="Q77" i="5"/>
  <c r="E77" i="5"/>
  <c r="D77" i="5"/>
  <c r="B77" i="5"/>
  <c r="A77" i="5"/>
  <c r="A76" i="5"/>
  <c r="I74" i="5"/>
  <c r="J74" i="5"/>
  <c r="AL72" i="5"/>
  <c r="A72" i="5"/>
  <c r="Z70" i="5"/>
  <c r="Y70" i="5"/>
  <c r="X70" i="5"/>
  <c r="K69" i="5"/>
  <c r="P70" i="5" s="1"/>
  <c r="J69" i="5"/>
  <c r="I69" i="5"/>
  <c r="AA70" i="5" s="1"/>
  <c r="H69" i="5"/>
  <c r="G69" i="5"/>
  <c r="F69" i="5"/>
  <c r="V68" i="5"/>
  <c r="T68" i="5"/>
  <c r="R68" i="5"/>
  <c r="U68" i="5"/>
  <c r="S68" i="5"/>
  <c r="Q68" i="5"/>
  <c r="E68" i="5"/>
  <c r="D68" i="5"/>
  <c r="B68" i="5"/>
  <c r="A68" i="5"/>
  <c r="Z67" i="5"/>
  <c r="Y67" i="5"/>
  <c r="X67" i="5"/>
  <c r="K66" i="5"/>
  <c r="P67" i="5" s="1"/>
  <c r="J66" i="5"/>
  <c r="I66" i="5"/>
  <c r="H67" i="5" s="1"/>
  <c r="H66" i="5"/>
  <c r="G66" i="5"/>
  <c r="F66" i="5"/>
  <c r="V65" i="5"/>
  <c r="T65" i="5"/>
  <c r="R65" i="5"/>
  <c r="U65" i="5"/>
  <c r="S65" i="5"/>
  <c r="Q65" i="5"/>
  <c r="E65" i="5"/>
  <c r="D65" i="5"/>
  <c r="B65" i="5"/>
  <c r="A65" i="5"/>
  <c r="Z64" i="5"/>
  <c r="Y64" i="5"/>
  <c r="X64" i="5"/>
  <c r="K63" i="5"/>
  <c r="J64" i="5" s="1"/>
  <c r="J63" i="5"/>
  <c r="I63" i="5"/>
  <c r="H64" i="5" s="1"/>
  <c r="H63" i="5"/>
  <c r="G63" i="5"/>
  <c r="F63" i="5"/>
  <c r="C62" i="5"/>
  <c r="V61" i="5"/>
  <c r="T61" i="5"/>
  <c r="R61" i="5"/>
  <c r="U61" i="5"/>
  <c r="S61" i="5"/>
  <c r="Q61" i="5"/>
  <c r="E61" i="5"/>
  <c r="D61" i="5"/>
  <c r="B61" i="5"/>
  <c r="A61" i="5"/>
  <c r="Z60" i="5"/>
  <c r="Y60" i="5"/>
  <c r="X60" i="5"/>
  <c r="J59" i="5"/>
  <c r="I59" i="5"/>
  <c r="H59" i="5"/>
  <c r="G59" i="5"/>
  <c r="F59" i="5"/>
  <c r="C58" i="5"/>
  <c r="V57" i="5"/>
  <c r="T57" i="5"/>
  <c r="R57" i="5"/>
  <c r="U57" i="5"/>
  <c r="S57" i="5"/>
  <c r="Q57" i="5"/>
  <c r="E57" i="5"/>
  <c r="D57" i="5"/>
  <c r="B57" i="5"/>
  <c r="A57" i="5"/>
  <c r="AA56" i="5"/>
  <c r="Z56" i="5"/>
  <c r="Y56" i="5"/>
  <c r="I55" i="5"/>
  <c r="H55" i="5"/>
  <c r="G55" i="5"/>
  <c r="E55" i="5"/>
  <c r="J54" i="5"/>
  <c r="E54" i="5"/>
  <c r="J53" i="5"/>
  <c r="E53" i="5"/>
  <c r="J52" i="5"/>
  <c r="E52" i="5"/>
  <c r="K51" i="5"/>
  <c r="J51" i="5"/>
  <c r="I51" i="5"/>
  <c r="W51" i="5" s="1"/>
  <c r="H51" i="5"/>
  <c r="G51" i="5"/>
  <c r="F51" i="5"/>
  <c r="K50" i="5"/>
  <c r="J50" i="5"/>
  <c r="I50" i="5"/>
  <c r="H50" i="5"/>
  <c r="G50" i="5"/>
  <c r="F50" i="5"/>
  <c r="K49" i="5"/>
  <c r="J49" i="5"/>
  <c r="W49" i="5"/>
  <c r="I49" i="5"/>
  <c r="H49" i="5"/>
  <c r="G49" i="5"/>
  <c r="F49" i="5"/>
  <c r="C48" i="5"/>
  <c r="V47" i="5"/>
  <c r="K54" i="5" s="1"/>
  <c r="T47" i="5"/>
  <c r="K53" i="5" s="1"/>
  <c r="R47" i="5"/>
  <c r="K52" i="5" s="1"/>
  <c r="U47" i="5"/>
  <c r="I54" i="5" s="1"/>
  <c r="S47" i="5"/>
  <c r="I53" i="5" s="1"/>
  <c r="Q47" i="5"/>
  <c r="I52" i="5" s="1"/>
  <c r="E47" i="5"/>
  <c r="D47" i="5"/>
  <c r="B47" i="5"/>
  <c r="A47" i="5"/>
  <c r="AA46" i="5"/>
  <c r="Z46" i="5"/>
  <c r="Y46" i="5"/>
  <c r="K45" i="5"/>
  <c r="F45" i="5"/>
  <c r="K44" i="5"/>
  <c r="J44" i="5"/>
  <c r="H44" i="5"/>
  <c r="AA44" i="5"/>
  <c r="Z44" i="5"/>
  <c r="Y44" i="5"/>
  <c r="I44" i="5"/>
  <c r="X44" i="5" s="1"/>
  <c r="F44" i="5"/>
  <c r="V44" i="5"/>
  <c r="T44" i="5"/>
  <c r="R44" i="5"/>
  <c r="U44" i="5"/>
  <c r="S44" i="5"/>
  <c r="Q44" i="5"/>
  <c r="E44" i="5"/>
  <c r="D44" i="5"/>
  <c r="B44" i="5"/>
  <c r="A44" i="5"/>
  <c r="K43" i="5"/>
  <c r="J43" i="5"/>
  <c r="I43" i="5"/>
  <c r="H43" i="5"/>
  <c r="G43" i="5"/>
  <c r="F43" i="5"/>
  <c r="K42" i="5"/>
  <c r="J42" i="5"/>
  <c r="I42" i="5"/>
  <c r="H42" i="5"/>
  <c r="G42" i="5"/>
  <c r="F42" i="5"/>
  <c r="K41" i="5"/>
  <c r="AD46" i="5" s="1"/>
  <c r="J41" i="5"/>
  <c r="I41" i="5"/>
  <c r="AC46" i="5" s="1"/>
  <c r="H41" i="5"/>
  <c r="G41" i="5"/>
  <c r="F41" i="5"/>
  <c r="C39" i="5"/>
  <c r="V38" i="5"/>
  <c r="T38" i="5"/>
  <c r="R38" i="5"/>
  <c r="U38" i="5"/>
  <c r="S38" i="5"/>
  <c r="Q38" i="5"/>
  <c r="E38" i="5"/>
  <c r="D38" i="5"/>
  <c r="B38" i="5"/>
  <c r="A38" i="5"/>
  <c r="Z37" i="5"/>
  <c r="Y37" i="5"/>
  <c r="K36" i="5"/>
  <c r="F36" i="5"/>
  <c r="K35" i="5"/>
  <c r="F35" i="5"/>
  <c r="K34" i="5"/>
  <c r="J34" i="5"/>
  <c r="H34" i="5"/>
  <c r="AA34" i="5"/>
  <c r="Z34" i="5"/>
  <c r="Y34" i="5"/>
  <c r="I34" i="5"/>
  <c r="X34" i="5" s="1"/>
  <c r="F34" i="5"/>
  <c r="V34" i="5"/>
  <c r="T34" i="5"/>
  <c r="R34" i="5"/>
  <c r="U34" i="5"/>
  <c r="S34" i="5"/>
  <c r="Q34" i="5"/>
  <c r="E34" i="5"/>
  <c r="D34" i="5"/>
  <c r="B34" i="5"/>
  <c r="A34" i="5"/>
  <c r="K33" i="5"/>
  <c r="J33" i="5"/>
  <c r="H33" i="5"/>
  <c r="AA33" i="5"/>
  <c r="Z33" i="5"/>
  <c r="Y33" i="5"/>
  <c r="X33" i="5"/>
  <c r="I33" i="5"/>
  <c r="F33" i="5"/>
  <c r="V33" i="5"/>
  <c r="T33" i="5"/>
  <c r="R33" i="5"/>
  <c r="U33" i="5"/>
  <c r="S33" i="5"/>
  <c r="Q33" i="5"/>
  <c r="E33" i="5"/>
  <c r="D33" i="5"/>
  <c r="B33" i="5"/>
  <c r="A33" i="5"/>
  <c r="K32" i="5"/>
  <c r="J32" i="5"/>
  <c r="I32" i="5"/>
  <c r="AA37" i="5" s="1"/>
  <c r="G32" i="5"/>
  <c r="F32" i="5"/>
  <c r="K31" i="5"/>
  <c r="J31" i="5"/>
  <c r="I31" i="5"/>
  <c r="H31" i="5"/>
  <c r="G31" i="5"/>
  <c r="F31" i="5"/>
  <c r="K30" i="5"/>
  <c r="J30" i="5"/>
  <c r="I30" i="5"/>
  <c r="H30" i="5"/>
  <c r="G30" i="5"/>
  <c r="F30" i="5"/>
  <c r="K29" i="5"/>
  <c r="AD37" i="5" s="1"/>
  <c r="J73" i="5" s="1"/>
  <c r="J29" i="5"/>
  <c r="I29" i="5"/>
  <c r="AC37" i="5" s="1"/>
  <c r="H73" i="5" s="1"/>
  <c r="H29" i="5"/>
  <c r="G29" i="5"/>
  <c r="F29" i="5"/>
  <c r="V27" i="5"/>
  <c r="T27" i="5"/>
  <c r="R27" i="5"/>
  <c r="U27" i="5"/>
  <c r="S27" i="5"/>
  <c r="Q27" i="5"/>
  <c r="E27" i="5"/>
  <c r="D27" i="5"/>
  <c r="B27" i="5"/>
  <c r="A27" i="5"/>
  <c r="A26" i="5"/>
  <c r="A9" i="5"/>
  <c r="A1" i="5"/>
  <c r="H70" i="5" l="1"/>
  <c r="H120" i="5"/>
  <c r="J123" i="5"/>
  <c r="J250" i="5"/>
  <c r="H273" i="5"/>
  <c r="AD290" i="5"/>
  <c r="H348" i="5"/>
  <c r="AE355" i="5"/>
  <c r="I21" i="5" s="1"/>
  <c r="J67" i="5"/>
  <c r="J70" i="5"/>
  <c r="H123" i="5"/>
  <c r="K142" i="5"/>
  <c r="I142" i="5"/>
  <c r="X210" i="5"/>
  <c r="P218" i="5"/>
  <c r="I238" i="5"/>
  <c r="H250" i="5"/>
  <c r="J37" i="5"/>
  <c r="K28" i="5"/>
  <c r="H37" i="5"/>
  <c r="I28" i="5"/>
  <c r="X37" i="5"/>
  <c r="J46" i="5"/>
  <c r="K40" i="5"/>
  <c r="H46" i="5"/>
  <c r="I40" i="5"/>
  <c r="J56" i="5"/>
  <c r="J99" i="5"/>
  <c r="P109" i="5"/>
  <c r="X109" i="5"/>
  <c r="O165" i="5"/>
  <c r="P37" i="5"/>
  <c r="O37" i="5"/>
  <c r="P46" i="5"/>
  <c r="O46" i="5"/>
  <c r="X46" i="5"/>
  <c r="X56" i="5"/>
  <c r="X99" i="5"/>
  <c r="O109" i="5"/>
  <c r="P165" i="5"/>
  <c r="P56" i="5"/>
  <c r="O56" i="5"/>
  <c r="I16" i="5"/>
  <c r="P64" i="5"/>
  <c r="O64" i="5"/>
  <c r="AA64" i="5"/>
  <c r="O67" i="5"/>
  <c r="AA67" i="5"/>
  <c r="O70" i="5"/>
  <c r="J88" i="5"/>
  <c r="K78" i="5"/>
  <c r="H88" i="5"/>
  <c r="I78" i="5"/>
  <c r="X88" i="5"/>
  <c r="P99" i="5"/>
  <c r="O99" i="5"/>
  <c r="J109" i="5"/>
  <c r="H109" i="5"/>
  <c r="H113" i="5"/>
  <c r="P117" i="5"/>
  <c r="O117" i="5"/>
  <c r="AA117" i="5"/>
  <c r="O120" i="5"/>
  <c r="O123" i="5"/>
  <c r="P140" i="5"/>
  <c r="AD140" i="5"/>
  <c r="O140" i="5"/>
  <c r="AC140" i="5"/>
  <c r="P146" i="5"/>
  <c r="O146" i="5"/>
  <c r="P155" i="5"/>
  <c r="AD155" i="5"/>
  <c r="O155" i="5"/>
  <c r="AC155" i="5"/>
  <c r="J165" i="5"/>
  <c r="H165" i="5"/>
  <c r="X165" i="5"/>
  <c r="J173" i="5"/>
  <c r="H173" i="5"/>
  <c r="J176" i="5"/>
  <c r="H176" i="5"/>
  <c r="J179" i="5"/>
  <c r="H179" i="5"/>
  <c r="J191" i="5"/>
  <c r="K187" i="5"/>
  <c r="H191" i="5"/>
  <c r="I187" i="5"/>
  <c r="X191" i="5"/>
  <c r="J200" i="5"/>
  <c r="K193" i="5"/>
  <c r="H200" i="5"/>
  <c r="I193" i="5"/>
  <c r="X200" i="5"/>
  <c r="O210" i="5"/>
  <c r="H210" i="5"/>
  <c r="X230" i="5"/>
  <c r="O250" i="5"/>
  <c r="X250" i="5"/>
  <c r="X261" i="5"/>
  <c r="P261" i="5"/>
  <c r="O327" i="5"/>
  <c r="J327" i="5"/>
  <c r="P327" i="5"/>
  <c r="J340" i="5"/>
  <c r="H56" i="5"/>
  <c r="P88" i="5"/>
  <c r="O88" i="5"/>
  <c r="H99" i="5"/>
  <c r="I17" i="5"/>
  <c r="J140" i="5"/>
  <c r="H140" i="5"/>
  <c r="I131" i="5"/>
  <c r="J155" i="5"/>
  <c r="H155" i="5"/>
  <c r="I149" i="5"/>
  <c r="O173" i="5"/>
  <c r="O176" i="5"/>
  <c r="O179" i="5"/>
  <c r="P191" i="5"/>
  <c r="O191" i="5"/>
  <c r="P200" i="5"/>
  <c r="O200" i="5"/>
  <c r="P210" i="5"/>
  <c r="J210" i="5"/>
  <c r="H214" i="5"/>
  <c r="O218" i="5"/>
  <c r="AA218" i="5"/>
  <c r="P250" i="5"/>
  <c r="J261" i="5"/>
  <c r="X267" i="5"/>
  <c r="J267" i="5"/>
  <c r="X317" i="5"/>
  <c r="J317" i="5"/>
  <c r="W253" i="5"/>
  <c r="O261" i="5"/>
  <c r="P267" i="5"/>
  <c r="O267" i="5"/>
  <c r="O273" i="5"/>
  <c r="J290" i="5"/>
  <c r="H290" i="5"/>
  <c r="I281" i="5"/>
  <c r="P297" i="5"/>
  <c r="AD297" i="5"/>
  <c r="O297" i="5"/>
  <c r="AC297" i="5"/>
  <c r="P306" i="5"/>
  <c r="AD306" i="5"/>
  <c r="O306" i="5"/>
  <c r="AC306" i="5"/>
  <c r="W309" i="5"/>
  <c r="P317" i="5"/>
  <c r="O317" i="5"/>
  <c r="W320" i="5"/>
  <c r="H327" i="5"/>
  <c r="X327" i="5"/>
  <c r="J335" i="5"/>
  <c r="H335" i="5"/>
  <c r="P340" i="5"/>
  <c r="O340" i="5"/>
  <c r="J344" i="5"/>
  <c r="H344" i="5"/>
  <c r="O348" i="5"/>
  <c r="AF355" i="5"/>
  <c r="H367" i="5"/>
  <c r="H261" i="5"/>
  <c r="H267" i="5"/>
  <c r="P290" i="5"/>
  <c r="O290" i="5"/>
  <c r="AC290" i="5"/>
  <c r="H351" i="5" s="1"/>
  <c r="J297" i="5"/>
  <c r="H297" i="5"/>
  <c r="I292" i="5"/>
  <c r="J306" i="5"/>
  <c r="H306" i="5"/>
  <c r="I300" i="5"/>
  <c r="H317" i="5"/>
  <c r="O335" i="5"/>
  <c r="H340" i="5"/>
  <c r="O344" i="5"/>
  <c r="H363" i="5"/>
  <c r="H60" i="5"/>
  <c r="AA60" i="5"/>
  <c r="O60" i="5"/>
  <c r="O169" i="5"/>
  <c r="H181" i="5" s="1"/>
  <c r="AA169" i="5"/>
  <c r="O230" i="5"/>
  <c r="AC230" i="5"/>
  <c r="O270" i="5"/>
  <c r="AA270" i="5"/>
  <c r="O331" i="5"/>
  <c r="AA331" i="5"/>
  <c r="O113" i="5"/>
  <c r="H125" i="5" s="1"/>
  <c r="O214" i="5"/>
  <c r="H220" i="5" s="1"/>
  <c r="H230" i="5"/>
  <c r="I226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" i="3"/>
  <c r="CX1" i="3"/>
  <c r="CY1" i="3"/>
  <c r="CZ1" i="3"/>
  <c r="DA1" i="3"/>
  <c r="DB1" i="3"/>
  <c r="DC1" i="3"/>
  <c r="A2" i="3"/>
  <c r="CX2" i="3"/>
  <c r="CY2" i="3"/>
  <c r="CZ2" i="3"/>
  <c r="DB2" i="3" s="1"/>
  <c r="DA2" i="3"/>
  <c r="DC2" i="3"/>
  <c r="A3" i="3"/>
  <c r="CX3" i="3"/>
  <c r="CY3" i="3"/>
  <c r="CZ3" i="3"/>
  <c r="DB3" i="3" s="1"/>
  <c r="DA3" i="3"/>
  <c r="DC3" i="3"/>
  <c r="A4" i="3"/>
  <c r="CY4" i="3"/>
  <c r="CZ4" i="3"/>
  <c r="DA4" i="3"/>
  <c r="DB4" i="3"/>
  <c r="DC4" i="3"/>
  <c r="A5" i="3"/>
  <c r="CY5" i="3"/>
  <c r="CZ5" i="3"/>
  <c r="DA5" i="3"/>
  <c r="DB5" i="3"/>
  <c r="DC5" i="3"/>
  <c r="A6" i="3"/>
  <c r="CY6" i="3"/>
  <c r="CZ6" i="3"/>
  <c r="DA6" i="3"/>
  <c r="DB6" i="3"/>
  <c r="DC6" i="3"/>
  <c r="A7" i="3"/>
  <c r="CY7" i="3"/>
  <c r="CZ7" i="3"/>
  <c r="DB7" i="3" s="1"/>
  <c r="DA7" i="3"/>
  <c r="DC7" i="3"/>
  <c r="A8" i="3"/>
  <c r="CY8" i="3"/>
  <c r="CZ8" i="3"/>
  <c r="DB8" i="3" s="1"/>
  <c r="DA8" i="3"/>
  <c r="DC8" i="3"/>
  <c r="A9" i="3"/>
  <c r="CY9" i="3"/>
  <c r="CZ9" i="3"/>
  <c r="DA9" i="3"/>
  <c r="DB9" i="3"/>
  <c r="DC9" i="3"/>
  <c r="A10" i="3"/>
  <c r="CY10" i="3"/>
  <c r="CZ10" i="3"/>
  <c r="DB10" i="3" s="1"/>
  <c r="DA10" i="3"/>
  <c r="DC10" i="3"/>
  <c r="A11" i="3"/>
  <c r="CY11" i="3"/>
  <c r="CZ11" i="3"/>
  <c r="DA11" i="3"/>
  <c r="DB11" i="3"/>
  <c r="DC11" i="3"/>
  <c r="A12" i="3"/>
  <c r="CY12" i="3"/>
  <c r="CZ12" i="3"/>
  <c r="DA12" i="3"/>
  <c r="DB12" i="3"/>
  <c r="DC12" i="3"/>
  <c r="A13" i="3"/>
  <c r="CX13" i="3"/>
  <c r="CY13" i="3"/>
  <c r="CZ13" i="3"/>
  <c r="DA13" i="3"/>
  <c r="DB13" i="3"/>
  <c r="DC13" i="3"/>
  <c r="A14" i="3"/>
  <c r="CX14" i="3"/>
  <c r="CY14" i="3"/>
  <c r="CZ14" i="3"/>
  <c r="DA14" i="3"/>
  <c r="DB14" i="3"/>
  <c r="DC14" i="3"/>
  <c r="A15" i="3"/>
  <c r="CX15" i="3"/>
  <c r="CY15" i="3"/>
  <c r="CZ15" i="3"/>
  <c r="DB15" i="3" s="1"/>
  <c r="DA15" i="3"/>
  <c r="DC15" i="3"/>
  <c r="A16" i="3"/>
  <c r="CX16" i="3"/>
  <c r="CY16" i="3"/>
  <c r="CZ16" i="3"/>
  <c r="DB16" i="3" s="1"/>
  <c r="DA16" i="3"/>
  <c r="DC16" i="3"/>
  <c r="A17" i="3"/>
  <c r="CX17" i="3"/>
  <c r="CY17" i="3"/>
  <c r="CZ17" i="3"/>
  <c r="DA17" i="3"/>
  <c r="DB17" i="3"/>
  <c r="DC17" i="3"/>
  <c r="A18" i="3"/>
  <c r="CX18" i="3"/>
  <c r="CY18" i="3"/>
  <c r="CZ18" i="3"/>
  <c r="DB18" i="3" s="1"/>
  <c r="DA18" i="3"/>
  <c r="DC18" i="3"/>
  <c r="A19" i="3"/>
  <c r="CX19" i="3"/>
  <c r="CY19" i="3"/>
  <c r="CZ19" i="3"/>
  <c r="DA19" i="3"/>
  <c r="DB19" i="3"/>
  <c r="DC19" i="3"/>
  <c r="A20" i="3"/>
  <c r="CX20" i="3"/>
  <c r="CY20" i="3"/>
  <c r="CZ20" i="3"/>
  <c r="DA20" i="3"/>
  <c r="DB20" i="3"/>
  <c r="DC20" i="3"/>
  <c r="A21" i="3"/>
  <c r="CX21" i="3"/>
  <c r="CY21" i="3"/>
  <c r="CZ21" i="3"/>
  <c r="DA21" i="3"/>
  <c r="DB21" i="3"/>
  <c r="DC21" i="3"/>
  <c r="A22" i="3"/>
  <c r="CX22" i="3"/>
  <c r="CY22" i="3"/>
  <c r="CZ22" i="3"/>
  <c r="DA22" i="3"/>
  <c r="DB22" i="3"/>
  <c r="DC22" i="3"/>
  <c r="A23" i="3"/>
  <c r="CX23" i="3"/>
  <c r="CY23" i="3"/>
  <c r="CZ23" i="3"/>
  <c r="DB23" i="3" s="1"/>
  <c r="DA23" i="3"/>
  <c r="DC23" i="3"/>
  <c r="A24" i="3"/>
  <c r="CX24" i="3"/>
  <c r="CY24" i="3"/>
  <c r="CZ24" i="3"/>
  <c r="DB24" i="3" s="1"/>
  <c r="DA24" i="3"/>
  <c r="DC24" i="3"/>
  <c r="A25" i="3"/>
  <c r="CX25" i="3"/>
  <c r="CY25" i="3"/>
  <c r="CZ25" i="3"/>
  <c r="DA25" i="3"/>
  <c r="DB25" i="3"/>
  <c r="DC25" i="3"/>
  <c r="A26" i="3"/>
  <c r="CX26" i="3"/>
  <c r="CY26" i="3"/>
  <c r="CZ26" i="3"/>
  <c r="DB26" i="3" s="1"/>
  <c r="DA26" i="3"/>
  <c r="DC26" i="3"/>
  <c r="A27" i="3"/>
  <c r="CX27" i="3"/>
  <c r="CY27" i="3"/>
  <c r="CZ27" i="3"/>
  <c r="DA27" i="3"/>
  <c r="DB27" i="3"/>
  <c r="DC27" i="3"/>
  <c r="A28" i="3"/>
  <c r="CX28" i="3"/>
  <c r="CY28" i="3"/>
  <c r="CZ28" i="3"/>
  <c r="DA28" i="3"/>
  <c r="DB28" i="3"/>
  <c r="DC28" i="3"/>
  <c r="A29" i="3"/>
  <c r="CY29" i="3"/>
  <c r="CZ29" i="3"/>
  <c r="DA29" i="3"/>
  <c r="DB29" i="3"/>
  <c r="DC29" i="3"/>
  <c r="A30" i="3"/>
  <c r="CY30" i="3"/>
  <c r="CZ30" i="3"/>
  <c r="DA30" i="3"/>
  <c r="DB30" i="3"/>
  <c r="DC30" i="3"/>
  <c r="A31" i="3"/>
  <c r="CY31" i="3"/>
  <c r="CZ31" i="3"/>
  <c r="DB31" i="3" s="1"/>
  <c r="DA31" i="3"/>
  <c r="DC31" i="3"/>
  <c r="A32" i="3"/>
  <c r="CY32" i="3"/>
  <c r="CZ32" i="3"/>
  <c r="DB32" i="3" s="1"/>
  <c r="DA32" i="3"/>
  <c r="DC32" i="3"/>
  <c r="A33" i="3"/>
  <c r="CY33" i="3"/>
  <c r="CZ33" i="3"/>
  <c r="DA33" i="3"/>
  <c r="DB33" i="3"/>
  <c r="DC33" i="3"/>
  <c r="A34" i="3"/>
  <c r="CY34" i="3"/>
  <c r="CZ34" i="3"/>
  <c r="DB34" i="3" s="1"/>
  <c r="DA34" i="3"/>
  <c r="DC34" i="3"/>
  <c r="A35" i="3"/>
  <c r="CY35" i="3"/>
  <c r="CZ35" i="3"/>
  <c r="DA35" i="3"/>
  <c r="DB35" i="3"/>
  <c r="DC35" i="3"/>
  <c r="A36" i="3"/>
  <c r="CX36" i="3"/>
  <c r="CY36" i="3"/>
  <c r="CZ36" i="3"/>
  <c r="DA36" i="3"/>
  <c r="DB36" i="3"/>
  <c r="DC36" i="3"/>
  <c r="A37" i="3"/>
  <c r="CX37" i="3"/>
  <c r="CY37" i="3"/>
  <c r="CZ37" i="3"/>
  <c r="DA37" i="3"/>
  <c r="DB37" i="3"/>
  <c r="DC37" i="3"/>
  <c r="A38" i="3"/>
  <c r="CX38" i="3"/>
  <c r="CY38" i="3"/>
  <c r="CZ38" i="3"/>
  <c r="DA38" i="3"/>
  <c r="DB38" i="3"/>
  <c r="DC38" i="3"/>
  <c r="A39" i="3"/>
  <c r="CY39" i="3"/>
  <c r="CZ39" i="3"/>
  <c r="DB39" i="3" s="1"/>
  <c r="DA39" i="3"/>
  <c r="DC39" i="3"/>
  <c r="A40" i="3"/>
  <c r="CY40" i="3"/>
  <c r="CZ40" i="3"/>
  <c r="DB40" i="3" s="1"/>
  <c r="DA40" i="3"/>
  <c r="DC40" i="3"/>
  <c r="A41" i="3"/>
  <c r="CY41" i="3"/>
  <c r="CZ41" i="3"/>
  <c r="DA41" i="3"/>
  <c r="DB41" i="3"/>
  <c r="DC41" i="3"/>
  <c r="A42" i="3"/>
  <c r="CY42" i="3"/>
  <c r="CZ42" i="3"/>
  <c r="DB42" i="3" s="1"/>
  <c r="DA42" i="3"/>
  <c r="DC42" i="3"/>
  <c r="A43" i="3"/>
  <c r="CY43" i="3"/>
  <c r="CZ43" i="3"/>
  <c r="DA43" i="3"/>
  <c r="DB43" i="3"/>
  <c r="DC43" i="3"/>
  <c r="A44" i="3"/>
  <c r="CY44" i="3"/>
  <c r="CZ44" i="3"/>
  <c r="DA44" i="3"/>
  <c r="DB44" i="3"/>
  <c r="DC44" i="3"/>
  <c r="A45" i="3"/>
  <c r="CY45" i="3"/>
  <c r="CZ45" i="3"/>
  <c r="DA45" i="3"/>
  <c r="DB45" i="3"/>
  <c r="DC45" i="3"/>
  <c r="A46" i="3"/>
  <c r="CY46" i="3"/>
  <c r="CZ46" i="3"/>
  <c r="DA46" i="3"/>
  <c r="DB46" i="3"/>
  <c r="DC46" i="3"/>
  <c r="A47" i="3"/>
  <c r="CY47" i="3"/>
  <c r="CZ47" i="3"/>
  <c r="DB47" i="3" s="1"/>
  <c r="DA47" i="3"/>
  <c r="DC47" i="3"/>
  <c r="A48" i="3"/>
  <c r="CY48" i="3"/>
  <c r="CZ48" i="3"/>
  <c r="DB48" i="3" s="1"/>
  <c r="DA48" i="3"/>
  <c r="DC48" i="3"/>
  <c r="A49" i="3"/>
  <c r="CX49" i="3"/>
  <c r="CY49" i="3"/>
  <c r="CZ49" i="3"/>
  <c r="DA49" i="3"/>
  <c r="DB49" i="3"/>
  <c r="DC49" i="3"/>
  <c r="A50" i="3"/>
  <c r="CX50" i="3"/>
  <c r="CY50" i="3"/>
  <c r="CZ50" i="3"/>
  <c r="DB50" i="3" s="1"/>
  <c r="DA50" i="3"/>
  <c r="DC50" i="3"/>
  <c r="A51" i="3"/>
  <c r="CX51" i="3"/>
  <c r="CY51" i="3"/>
  <c r="CZ51" i="3"/>
  <c r="DA51" i="3"/>
  <c r="DB51" i="3"/>
  <c r="DC51" i="3"/>
  <c r="A52" i="3"/>
  <c r="CY52" i="3"/>
  <c r="CZ52" i="3"/>
  <c r="DA52" i="3"/>
  <c r="DB52" i="3"/>
  <c r="DC52" i="3"/>
  <c r="A53" i="3"/>
  <c r="CY53" i="3"/>
  <c r="CZ53" i="3"/>
  <c r="DA53" i="3"/>
  <c r="DB53" i="3"/>
  <c r="DC53" i="3"/>
  <c r="A54" i="3"/>
  <c r="CY54" i="3"/>
  <c r="CZ54" i="3"/>
  <c r="DA54" i="3"/>
  <c r="DB54" i="3"/>
  <c r="DC54" i="3"/>
  <c r="A55" i="3"/>
  <c r="CY55" i="3"/>
  <c r="CZ55" i="3"/>
  <c r="DB55" i="3" s="1"/>
  <c r="DA55" i="3"/>
  <c r="DC55" i="3"/>
  <c r="A56" i="3"/>
  <c r="CY56" i="3"/>
  <c r="CZ56" i="3"/>
  <c r="DB56" i="3" s="1"/>
  <c r="DA56" i="3"/>
  <c r="DC56" i="3"/>
  <c r="A57" i="3"/>
  <c r="CX57" i="3"/>
  <c r="CY57" i="3"/>
  <c r="CZ57" i="3"/>
  <c r="DA57" i="3"/>
  <c r="DB57" i="3"/>
  <c r="DC57" i="3"/>
  <c r="A58" i="3"/>
  <c r="CY58" i="3"/>
  <c r="CZ58" i="3"/>
  <c r="DB58" i="3" s="1"/>
  <c r="DA58" i="3"/>
  <c r="DC58" i="3"/>
  <c r="A59" i="3"/>
  <c r="CY59" i="3"/>
  <c r="CZ59" i="3"/>
  <c r="DA59" i="3"/>
  <c r="DB59" i="3"/>
  <c r="DC59" i="3"/>
  <c r="A60" i="3"/>
  <c r="CY60" i="3"/>
  <c r="CZ60" i="3"/>
  <c r="DA60" i="3"/>
  <c r="DB60" i="3"/>
  <c r="DC60" i="3"/>
  <c r="A61" i="3"/>
  <c r="CY61" i="3"/>
  <c r="CZ61" i="3"/>
  <c r="DA61" i="3"/>
  <c r="DB61" i="3"/>
  <c r="DC61" i="3"/>
  <c r="A62" i="3"/>
  <c r="CY62" i="3"/>
  <c r="CZ62" i="3"/>
  <c r="DA62" i="3"/>
  <c r="DB62" i="3"/>
  <c r="DC62" i="3"/>
  <c r="A63" i="3"/>
  <c r="CY63" i="3"/>
  <c r="CZ63" i="3"/>
  <c r="DB63" i="3" s="1"/>
  <c r="DA63" i="3"/>
  <c r="DC63" i="3"/>
  <c r="A64" i="3"/>
  <c r="CY64" i="3"/>
  <c r="CZ64" i="3"/>
  <c r="DB64" i="3" s="1"/>
  <c r="DA64" i="3"/>
  <c r="DC64" i="3"/>
  <c r="A65" i="3"/>
  <c r="CY65" i="3"/>
  <c r="CZ65" i="3"/>
  <c r="DA65" i="3"/>
  <c r="DB65" i="3"/>
  <c r="DC65" i="3"/>
  <c r="A66" i="3"/>
  <c r="CY66" i="3"/>
  <c r="CZ66" i="3"/>
  <c r="DB66" i="3" s="1"/>
  <c r="DA66" i="3"/>
  <c r="DC66" i="3"/>
  <c r="A67" i="3"/>
  <c r="CY67" i="3"/>
  <c r="CZ67" i="3"/>
  <c r="DA67" i="3"/>
  <c r="DB67" i="3"/>
  <c r="DC67" i="3"/>
  <c r="A68" i="3"/>
  <c r="CY68" i="3"/>
  <c r="CZ68" i="3"/>
  <c r="DA68" i="3"/>
  <c r="DB68" i="3"/>
  <c r="DC68" i="3"/>
  <c r="A69" i="3"/>
  <c r="CY69" i="3"/>
  <c r="CZ69" i="3"/>
  <c r="DA69" i="3"/>
  <c r="DB69" i="3"/>
  <c r="DC69" i="3"/>
  <c r="A70" i="3"/>
  <c r="CY70" i="3"/>
  <c r="CZ70" i="3"/>
  <c r="DA70" i="3"/>
  <c r="DB70" i="3"/>
  <c r="DC70" i="3"/>
  <c r="A71" i="3"/>
  <c r="CY71" i="3"/>
  <c r="CZ71" i="3"/>
  <c r="DB71" i="3" s="1"/>
  <c r="DA71" i="3"/>
  <c r="DC71" i="3"/>
  <c r="A72" i="3"/>
  <c r="CY72" i="3"/>
  <c r="CZ72" i="3"/>
  <c r="DB72" i="3" s="1"/>
  <c r="DA72" i="3"/>
  <c r="DC72" i="3"/>
  <c r="A73" i="3"/>
  <c r="CY73" i="3"/>
  <c r="CZ73" i="3"/>
  <c r="DA73" i="3"/>
  <c r="DB73" i="3"/>
  <c r="DC73" i="3"/>
  <c r="A74" i="3"/>
  <c r="CY74" i="3"/>
  <c r="CZ74" i="3"/>
  <c r="DB74" i="3" s="1"/>
  <c r="DA74" i="3"/>
  <c r="DC74" i="3"/>
  <c r="A75" i="3"/>
  <c r="CY75" i="3"/>
  <c r="CZ75" i="3"/>
  <c r="DA75" i="3"/>
  <c r="DB75" i="3"/>
  <c r="DC75" i="3"/>
  <c r="A76" i="3"/>
  <c r="CY76" i="3"/>
  <c r="CZ76" i="3"/>
  <c r="DA76" i="3"/>
  <c r="DB76" i="3"/>
  <c r="DC76" i="3"/>
  <c r="A77" i="3"/>
  <c r="CY77" i="3"/>
  <c r="CZ77" i="3"/>
  <c r="DA77" i="3"/>
  <c r="DB77" i="3"/>
  <c r="DC77" i="3"/>
  <c r="A78" i="3"/>
  <c r="CY78" i="3"/>
  <c r="CZ78" i="3"/>
  <c r="DA78" i="3"/>
  <c r="DB78" i="3"/>
  <c r="DC78" i="3"/>
  <c r="A79" i="3"/>
  <c r="CY79" i="3"/>
  <c r="CZ79" i="3"/>
  <c r="DB79" i="3" s="1"/>
  <c r="DA79" i="3"/>
  <c r="DC79" i="3"/>
  <c r="A80" i="3"/>
  <c r="CY80" i="3"/>
  <c r="CZ80" i="3"/>
  <c r="DB80" i="3" s="1"/>
  <c r="DA80" i="3"/>
  <c r="DC80" i="3"/>
  <c r="A81" i="3"/>
  <c r="CY81" i="3"/>
  <c r="CZ81" i="3"/>
  <c r="DA81" i="3"/>
  <c r="DB81" i="3"/>
  <c r="DC81" i="3"/>
  <c r="A82" i="3"/>
  <c r="CY82" i="3"/>
  <c r="CZ82" i="3"/>
  <c r="DB82" i="3" s="1"/>
  <c r="DA82" i="3"/>
  <c r="DC82" i="3"/>
  <c r="A83" i="3"/>
  <c r="CY83" i="3"/>
  <c r="CZ83" i="3"/>
  <c r="DA83" i="3"/>
  <c r="DB83" i="3"/>
  <c r="DC83" i="3"/>
  <c r="A84" i="3"/>
  <c r="CY84" i="3"/>
  <c r="CZ84" i="3"/>
  <c r="DA84" i="3"/>
  <c r="DB84" i="3"/>
  <c r="DC84" i="3"/>
  <c r="A85" i="3"/>
  <c r="CY85" i="3"/>
  <c r="CZ85" i="3"/>
  <c r="DA85" i="3"/>
  <c r="DB85" i="3"/>
  <c r="DC85" i="3"/>
  <c r="A86" i="3"/>
  <c r="CY86" i="3"/>
  <c r="CZ86" i="3"/>
  <c r="DA86" i="3"/>
  <c r="DB86" i="3"/>
  <c r="DC86" i="3"/>
  <c r="A87" i="3"/>
  <c r="CY87" i="3"/>
  <c r="CZ87" i="3"/>
  <c r="DB87" i="3" s="1"/>
  <c r="DA87" i="3"/>
  <c r="DC87" i="3"/>
  <c r="A88" i="3"/>
  <c r="CY88" i="3"/>
  <c r="CZ88" i="3"/>
  <c r="DB88" i="3" s="1"/>
  <c r="DA88" i="3"/>
  <c r="DC88" i="3"/>
  <c r="A89" i="3"/>
  <c r="CY89" i="3"/>
  <c r="CZ89" i="3"/>
  <c r="DA89" i="3"/>
  <c r="DB89" i="3"/>
  <c r="DC89" i="3"/>
  <c r="A90" i="3"/>
  <c r="CX90" i="3"/>
  <c r="CY90" i="3"/>
  <c r="CZ90" i="3"/>
  <c r="DB90" i="3" s="1"/>
  <c r="DA90" i="3"/>
  <c r="DC90" i="3"/>
  <c r="A91" i="3"/>
  <c r="CX91" i="3"/>
  <c r="CY91" i="3"/>
  <c r="CZ91" i="3"/>
  <c r="DA91" i="3"/>
  <c r="DB91" i="3"/>
  <c r="DC91" i="3"/>
  <c r="A92" i="3"/>
  <c r="CY92" i="3"/>
  <c r="CZ92" i="3"/>
  <c r="DA92" i="3"/>
  <c r="DB92" i="3"/>
  <c r="DC92" i="3"/>
  <c r="A93" i="3"/>
  <c r="CY93" i="3"/>
  <c r="CZ93" i="3"/>
  <c r="DA93" i="3"/>
  <c r="DB93" i="3"/>
  <c r="DC93" i="3"/>
  <c r="A94" i="3"/>
  <c r="CY94" i="3"/>
  <c r="CZ94" i="3"/>
  <c r="DA94" i="3"/>
  <c r="DB94" i="3"/>
  <c r="DC94" i="3"/>
  <c r="A95" i="3"/>
  <c r="CY95" i="3"/>
  <c r="CZ95" i="3"/>
  <c r="DB95" i="3" s="1"/>
  <c r="DA95" i="3"/>
  <c r="DC95" i="3"/>
  <c r="A96" i="3"/>
  <c r="CY96" i="3"/>
  <c r="CZ96" i="3"/>
  <c r="DB96" i="3" s="1"/>
  <c r="DA96" i="3"/>
  <c r="DC96" i="3"/>
  <c r="A97" i="3"/>
  <c r="CY97" i="3"/>
  <c r="CZ97" i="3"/>
  <c r="DA97" i="3"/>
  <c r="DB97" i="3"/>
  <c r="DC97" i="3"/>
  <c r="A98" i="3"/>
  <c r="CY98" i="3"/>
  <c r="CZ98" i="3"/>
  <c r="DB98" i="3" s="1"/>
  <c r="DA98" i="3"/>
  <c r="DC98" i="3"/>
  <c r="A99" i="3"/>
  <c r="CY99" i="3"/>
  <c r="CZ99" i="3"/>
  <c r="DA99" i="3"/>
  <c r="DB99" i="3"/>
  <c r="DC99" i="3"/>
  <c r="A100" i="3"/>
  <c r="CY100" i="3"/>
  <c r="CZ100" i="3"/>
  <c r="DA100" i="3"/>
  <c r="DB100" i="3"/>
  <c r="DC100" i="3"/>
  <c r="A101" i="3"/>
  <c r="CY101" i="3"/>
  <c r="CZ101" i="3"/>
  <c r="DA101" i="3"/>
  <c r="DB101" i="3"/>
  <c r="DC101" i="3"/>
  <c r="A102" i="3"/>
  <c r="CY102" i="3"/>
  <c r="CZ102" i="3"/>
  <c r="DA102" i="3"/>
  <c r="DB102" i="3"/>
  <c r="DC102" i="3"/>
  <c r="A103" i="3"/>
  <c r="CY103" i="3"/>
  <c r="CZ103" i="3"/>
  <c r="DB103" i="3" s="1"/>
  <c r="DA103" i="3"/>
  <c r="DC103" i="3"/>
  <c r="A104" i="3"/>
  <c r="CY104" i="3"/>
  <c r="CZ104" i="3"/>
  <c r="DB104" i="3" s="1"/>
  <c r="DA104" i="3"/>
  <c r="DC104" i="3"/>
  <c r="A105" i="3"/>
  <c r="CY105" i="3"/>
  <c r="CZ105" i="3"/>
  <c r="DA105" i="3"/>
  <c r="DB105" i="3"/>
  <c r="DC105" i="3"/>
  <c r="A106" i="3"/>
  <c r="CY106" i="3"/>
  <c r="CZ106" i="3"/>
  <c r="DB106" i="3" s="1"/>
  <c r="DA106" i="3"/>
  <c r="DC106" i="3"/>
  <c r="A107" i="3"/>
  <c r="CY107" i="3"/>
  <c r="CZ107" i="3"/>
  <c r="DA107" i="3"/>
  <c r="DB107" i="3"/>
  <c r="DC107" i="3"/>
  <c r="A108" i="3"/>
  <c r="CY108" i="3"/>
  <c r="CZ108" i="3"/>
  <c r="DA108" i="3"/>
  <c r="DB108" i="3"/>
  <c r="DC108" i="3"/>
  <c r="A109" i="3"/>
  <c r="CY109" i="3"/>
  <c r="CZ109" i="3"/>
  <c r="DA109" i="3"/>
  <c r="DB109" i="3"/>
  <c r="DC109" i="3"/>
  <c r="A110" i="3"/>
  <c r="CY110" i="3"/>
  <c r="CZ110" i="3"/>
  <c r="DA110" i="3"/>
  <c r="DB110" i="3"/>
  <c r="DC110" i="3"/>
  <c r="A111" i="3"/>
  <c r="CY111" i="3"/>
  <c r="CZ111" i="3"/>
  <c r="DB111" i="3" s="1"/>
  <c r="DA111" i="3"/>
  <c r="DC111" i="3"/>
  <c r="A112" i="3"/>
  <c r="CY112" i="3"/>
  <c r="CZ112" i="3"/>
  <c r="DB112" i="3" s="1"/>
  <c r="DA112" i="3"/>
  <c r="DC112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Q28" i="1"/>
  <c r="R28" i="1"/>
  <c r="S28" i="1"/>
  <c r="CY28" i="1" s="1"/>
  <c r="X28" i="1" s="1"/>
  <c r="AB28" i="1"/>
  <c r="AC28" i="1"/>
  <c r="P28" i="1" s="1"/>
  <c r="AE28" i="1"/>
  <c r="CS28" i="1" s="1"/>
  <c r="AF28" i="1"/>
  <c r="AG28" i="1"/>
  <c r="AH28" i="1"/>
  <c r="CV28" i="1" s="1"/>
  <c r="U28" i="1" s="1"/>
  <c r="AI28" i="1"/>
  <c r="AJ28" i="1"/>
  <c r="CX28" i="1" s="1"/>
  <c r="W28" i="1" s="1"/>
  <c r="CR28" i="1"/>
  <c r="CT28" i="1"/>
  <c r="CU28" i="1"/>
  <c r="T28" i="1" s="1"/>
  <c r="CW28" i="1"/>
  <c r="V28" i="1" s="1"/>
  <c r="CZ28" i="1"/>
  <c r="Y28" i="1" s="1"/>
  <c r="FR28" i="1"/>
  <c r="GL28" i="1"/>
  <c r="GO28" i="1"/>
  <c r="GP28" i="1"/>
  <c r="GV28" i="1"/>
  <c r="GX28" i="1"/>
  <c r="GZ28" i="1"/>
  <c r="HC28" i="1"/>
  <c r="I29" i="1"/>
  <c r="Q29" i="1" s="1"/>
  <c r="O29" i="1"/>
  <c r="P29" i="1"/>
  <c r="CP29" i="1" s="1"/>
  <c r="R29" i="1"/>
  <c r="W29" i="1"/>
  <c r="AC29" i="1"/>
  <c r="CQ29" i="1" s="1"/>
  <c r="AE29" i="1"/>
  <c r="AD29" i="1" s="1"/>
  <c r="AB29" i="1" s="1"/>
  <c r="AF29" i="1"/>
  <c r="S29" i="1" s="1"/>
  <c r="AG29" i="1"/>
  <c r="CU29" i="1" s="1"/>
  <c r="T29" i="1" s="1"/>
  <c r="AH29" i="1"/>
  <c r="CV29" i="1" s="1"/>
  <c r="U29" i="1" s="1"/>
  <c r="AI29" i="1"/>
  <c r="AJ29" i="1"/>
  <c r="CX29" i="1" s="1"/>
  <c r="CR29" i="1"/>
  <c r="CT29" i="1"/>
  <c r="CW29" i="1"/>
  <c r="V29" i="1" s="1"/>
  <c r="FR29" i="1"/>
  <c r="GK29" i="1"/>
  <c r="GL29" i="1"/>
  <c r="GO29" i="1"/>
  <c r="GP29" i="1"/>
  <c r="GV29" i="1"/>
  <c r="HC29" i="1"/>
  <c r="GX29" i="1" s="1"/>
  <c r="I30" i="1"/>
  <c r="P30" i="1"/>
  <c r="U30" i="1"/>
  <c r="AC30" i="1"/>
  <c r="AE30" i="1"/>
  <c r="AF30" i="1"/>
  <c r="S30" i="1" s="1"/>
  <c r="CY30" i="1" s="1"/>
  <c r="X30" i="1" s="1"/>
  <c r="AG30" i="1"/>
  <c r="AH30" i="1"/>
  <c r="CV30" i="1" s="1"/>
  <c r="AI30" i="1"/>
  <c r="CW30" i="1" s="1"/>
  <c r="V30" i="1" s="1"/>
  <c r="AJ30" i="1"/>
  <c r="CR30" i="1"/>
  <c r="CU30" i="1"/>
  <c r="T30" i="1" s="1"/>
  <c r="CX30" i="1"/>
  <c r="W30" i="1" s="1"/>
  <c r="CZ30" i="1"/>
  <c r="Y30" i="1" s="1"/>
  <c r="FR30" i="1"/>
  <c r="GL30" i="1"/>
  <c r="GO30" i="1"/>
  <c r="GP30" i="1"/>
  <c r="GV30" i="1"/>
  <c r="HC30" i="1" s="1"/>
  <c r="GX30" i="1" s="1"/>
  <c r="C31" i="1"/>
  <c r="D31" i="1"/>
  <c r="I31" i="1"/>
  <c r="CX4" i="3" s="1"/>
  <c r="P31" i="1"/>
  <c r="CP31" i="1" s="1"/>
  <c r="O31" i="1" s="1"/>
  <c r="Q31" i="1"/>
  <c r="R31" i="1"/>
  <c r="S31" i="1"/>
  <c r="Y31" i="1"/>
  <c r="AB31" i="1"/>
  <c r="AC31" i="1"/>
  <c r="AD31" i="1"/>
  <c r="AE31" i="1"/>
  <c r="CS31" i="1" s="1"/>
  <c r="AF31" i="1"/>
  <c r="AG31" i="1"/>
  <c r="CU31" i="1" s="1"/>
  <c r="T31" i="1" s="1"/>
  <c r="AH31" i="1"/>
  <c r="AI31" i="1"/>
  <c r="CW31" i="1" s="1"/>
  <c r="V31" i="1" s="1"/>
  <c r="AJ31" i="1"/>
  <c r="CX31" i="1" s="1"/>
  <c r="W31" i="1" s="1"/>
  <c r="CQ31" i="1"/>
  <c r="CR31" i="1"/>
  <c r="CT31" i="1"/>
  <c r="CV31" i="1"/>
  <c r="U31" i="1" s="1"/>
  <c r="CY31" i="1"/>
  <c r="X31" i="1" s="1"/>
  <c r="CZ31" i="1"/>
  <c r="FR31" i="1"/>
  <c r="GL31" i="1"/>
  <c r="GO31" i="1"/>
  <c r="GP31" i="1"/>
  <c r="GV31" i="1"/>
  <c r="HC31" i="1" s="1"/>
  <c r="GX31" i="1" s="1"/>
  <c r="GZ31" i="1"/>
  <c r="I32" i="1"/>
  <c r="Q32" i="1" s="1"/>
  <c r="V32" i="1"/>
  <c r="AC32" i="1"/>
  <c r="P32" i="1" s="1"/>
  <c r="AD32" i="1"/>
  <c r="AE32" i="1"/>
  <c r="R32" i="1" s="1"/>
  <c r="GK32" i="1" s="1"/>
  <c r="AF32" i="1"/>
  <c r="AG32" i="1"/>
  <c r="CU32" i="1" s="1"/>
  <c r="T32" i="1" s="1"/>
  <c r="AH32" i="1"/>
  <c r="AI32" i="1"/>
  <c r="CW32" i="1" s="1"/>
  <c r="AJ32" i="1"/>
  <c r="CX32" i="1" s="1"/>
  <c r="W32" i="1" s="1"/>
  <c r="CQ32" i="1"/>
  <c r="CR32" i="1"/>
  <c r="CS32" i="1"/>
  <c r="CV32" i="1"/>
  <c r="U32" i="1" s="1"/>
  <c r="FR32" i="1"/>
  <c r="GL32" i="1"/>
  <c r="GO32" i="1"/>
  <c r="GP32" i="1"/>
  <c r="GV32" i="1"/>
  <c r="GX32" i="1"/>
  <c r="HC32" i="1"/>
  <c r="C33" i="1"/>
  <c r="D33" i="1"/>
  <c r="AC33" i="1"/>
  <c r="AE33" i="1"/>
  <c r="CS33" i="1" s="1"/>
  <c r="AF33" i="1"/>
  <c r="CT33" i="1" s="1"/>
  <c r="AG33" i="1"/>
  <c r="AH33" i="1"/>
  <c r="CV33" i="1" s="1"/>
  <c r="AI33" i="1"/>
  <c r="AJ33" i="1"/>
  <c r="CX33" i="1" s="1"/>
  <c r="CR33" i="1"/>
  <c r="CU33" i="1"/>
  <c r="CW33" i="1"/>
  <c r="FR33" i="1"/>
  <c r="GL33" i="1"/>
  <c r="GO33" i="1"/>
  <c r="GP33" i="1"/>
  <c r="GV33" i="1"/>
  <c r="HC33" i="1" s="1"/>
  <c r="C34" i="1"/>
  <c r="D34" i="1"/>
  <c r="AC34" i="1"/>
  <c r="AD34" i="1"/>
  <c r="AB34" i="1" s="1"/>
  <c r="AE34" i="1"/>
  <c r="AF34" i="1"/>
  <c r="AG34" i="1"/>
  <c r="CU34" i="1" s="1"/>
  <c r="AH34" i="1"/>
  <c r="AI34" i="1"/>
  <c r="CW34" i="1" s="1"/>
  <c r="AJ34" i="1"/>
  <c r="CX34" i="1" s="1"/>
  <c r="CQ34" i="1"/>
  <c r="CR34" i="1"/>
  <c r="CS34" i="1"/>
  <c r="CV34" i="1"/>
  <c r="FR34" i="1"/>
  <c r="GL34" i="1"/>
  <c r="GN34" i="1"/>
  <c r="GO34" i="1"/>
  <c r="GV34" i="1"/>
  <c r="HC34" i="1"/>
  <c r="C35" i="1"/>
  <c r="D35" i="1"/>
  <c r="AC35" i="1"/>
  <c r="AD35" i="1"/>
  <c r="AE35" i="1"/>
  <c r="AF35" i="1"/>
  <c r="CT35" i="1" s="1"/>
  <c r="AG35" i="1"/>
  <c r="CU35" i="1" s="1"/>
  <c r="AH35" i="1"/>
  <c r="AI35" i="1"/>
  <c r="AJ35" i="1"/>
  <c r="CR35" i="1"/>
  <c r="CS35" i="1"/>
  <c r="CV35" i="1"/>
  <c r="CW35" i="1"/>
  <c r="CX35" i="1"/>
  <c r="FR35" i="1"/>
  <c r="GL35" i="1"/>
  <c r="GN35" i="1"/>
  <c r="GO35" i="1"/>
  <c r="GV35" i="1"/>
  <c r="HC35" i="1"/>
  <c r="C36" i="1"/>
  <c r="D36" i="1"/>
  <c r="I36" i="1"/>
  <c r="CX11" i="3" s="1"/>
  <c r="P36" i="1"/>
  <c r="S36" i="1"/>
  <c r="CY36" i="1" s="1"/>
  <c r="W36" i="1"/>
  <c r="X36" i="1"/>
  <c r="AC36" i="1"/>
  <c r="CQ36" i="1" s="1"/>
  <c r="AD36" i="1"/>
  <c r="AE36" i="1"/>
  <c r="R36" i="1" s="1"/>
  <c r="AF36" i="1"/>
  <c r="AG36" i="1"/>
  <c r="AH36" i="1"/>
  <c r="CV36" i="1" s="1"/>
  <c r="U36" i="1" s="1"/>
  <c r="AI36" i="1"/>
  <c r="CW36" i="1" s="1"/>
  <c r="V36" i="1" s="1"/>
  <c r="AJ36" i="1"/>
  <c r="CR36" i="1"/>
  <c r="CS36" i="1"/>
  <c r="CT36" i="1"/>
  <c r="CU36" i="1"/>
  <c r="T36" i="1" s="1"/>
  <c r="CX36" i="1"/>
  <c r="FR36" i="1"/>
  <c r="GL36" i="1"/>
  <c r="GN36" i="1"/>
  <c r="GO36" i="1"/>
  <c r="GV36" i="1"/>
  <c r="HC36" i="1"/>
  <c r="GX36" i="1" s="1"/>
  <c r="C37" i="1"/>
  <c r="D37" i="1"/>
  <c r="AC37" i="1"/>
  <c r="AE37" i="1"/>
  <c r="AF37" i="1"/>
  <c r="CT37" i="1" s="1"/>
  <c r="AG37" i="1"/>
  <c r="AH37" i="1"/>
  <c r="CV37" i="1" s="1"/>
  <c r="AI37" i="1"/>
  <c r="CW37" i="1" s="1"/>
  <c r="AJ37" i="1"/>
  <c r="CQ37" i="1"/>
  <c r="CR37" i="1"/>
  <c r="CU37" i="1"/>
  <c r="CX37" i="1"/>
  <c r="FR37" i="1"/>
  <c r="GL37" i="1"/>
  <c r="GN37" i="1"/>
  <c r="GO37" i="1"/>
  <c r="GV37" i="1"/>
  <c r="HC37" i="1" s="1"/>
  <c r="B39" i="1"/>
  <c r="B26" i="1" s="1"/>
  <c r="C39" i="1"/>
  <c r="C26" i="1" s="1"/>
  <c r="D39" i="1"/>
  <c r="D26" i="1" s="1"/>
  <c r="F39" i="1"/>
  <c r="F26" i="1" s="1"/>
  <c r="G39" i="1"/>
  <c r="G26" i="1" s="1"/>
  <c r="AO39" i="1"/>
  <c r="AO26" i="1" s="1"/>
  <c r="BX39" i="1"/>
  <c r="BX26" i="1" s="1"/>
  <c r="BY39" i="1"/>
  <c r="BZ39" i="1"/>
  <c r="AQ39" i="1" s="1"/>
  <c r="CG39" i="1"/>
  <c r="CL39" i="1"/>
  <c r="D68" i="1"/>
  <c r="E70" i="1"/>
  <c r="Z70" i="1"/>
  <c r="AA70" i="1"/>
  <c r="AM70" i="1"/>
  <c r="AN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EG70" i="1"/>
  <c r="EH70" i="1"/>
  <c r="EI70" i="1"/>
  <c r="EJ70" i="1"/>
  <c r="EK70" i="1"/>
  <c r="EL70" i="1"/>
  <c r="EM70" i="1"/>
  <c r="EN70" i="1"/>
  <c r="EO70" i="1"/>
  <c r="EP70" i="1"/>
  <c r="EQ70" i="1"/>
  <c r="ER70" i="1"/>
  <c r="ES70" i="1"/>
  <c r="ET70" i="1"/>
  <c r="EU70" i="1"/>
  <c r="EV70" i="1"/>
  <c r="EW70" i="1"/>
  <c r="EX70" i="1"/>
  <c r="EY70" i="1"/>
  <c r="EZ70" i="1"/>
  <c r="FA70" i="1"/>
  <c r="FB70" i="1"/>
  <c r="FC70" i="1"/>
  <c r="FD70" i="1"/>
  <c r="FE70" i="1"/>
  <c r="FF70" i="1"/>
  <c r="FG70" i="1"/>
  <c r="FH70" i="1"/>
  <c r="FI70" i="1"/>
  <c r="FJ70" i="1"/>
  <c r="FK70" i="1"/>
  <c r="FL70" i="1"/>
  <c r="FM70" i="1"/>
  <c r="FN70" i="1"/>
  <c r="FO70" i="1"/>
  <c r="FP70" i="1"/>
  <c r="FQ70" i="1"/>
  <c r="FR70" i="1"/>
  <c r="FS70" i="1"/>
  <c r="FT70" i="1"/>
  <c r="FU70" i="1"/>
  <c r="FV70" i="1"/>
  <c r="FW70" i="1"/>
  <c r="FX70" i="1"/>
  <c r="FY70" i="1"/>
  <c r="FZ70" i="1"/>
  <c r="GA70" i="1"/>
  <c r="GB70" i="1"/>
  <c r="GC70" i="1"/>
  <c r="GD70" i="1"/>
  <c r="GE70" i="1"/>
  <c r="GF70" i="1"/>
  <c r="GG70" i="1"/>
  <c r="GH70" i="1"/>
  <c r="GI70" i="1"/>
  <c r="GJ70" i="1"/>
  <c r="GK70" i="1"/>
  <c r="GL70" i="1"/>
  <c r="GM70" i="1"/>
  <c r="GN70" i="1"/>
  <c r="GO70" i="1"/>
  <c r="GP70" i="1"/>
  <c r="GQ70" i="1"/>
  <c r="GR70" i="1"/>
  <c r="GS70" i="1"/>
  <c r="GT70" i="1"/>
  <c r="GU70" i="1"/>
  <c r="GV70" i="1"/>
  <c r="GW70" i="1"/>
  <c r="GX70" i="1"/>
  <c r="C72" i="1"/>
  <c r="D72" i="1"/>
  <c r="Q72" i="1"/>
  <c r="R72" i="1"/>
  <c r="S72" i="1"/>
  <c r="CY72" i="1" s="1"/>
  <c r="X72" i="1" s="1"/>
  <c r="V72" i="1"/>
  <c r="W72" i="1"/>
  <c r="AC72" i="1"/>
  <c r="AE72" i="1"/>
  <c r="AD72" i="1" s="1"/>
  <c r="AF72" i="1"/>
  <c r="AG72" i="1"/>
  <c r="AH72" i="1"/>
  <c r="AI72" i="1"/>
  <c r="AJ72" i="1"/>
  <c r="CR72" i="1"/>
  <c r="CS72" i="1"/>
  <c r="CT72" i="1"/>
  <c r="CU72" i="1"/>
  <c r="T72" i="1" s="1"/>
  <c r="CV72" i="1"/>
  <c r="U72" i="1" s="1"/>
  <c r="CW72" i="1"/>
  <c r="CX72" i="1"/>
  <c r="CZ72" i="1"/>
  <c r="Y72" i="1" s="1"/>
  <c r="FR72" i="1"/>
  <c r="GL72" i="1"/>
  <c r="GO72" i="1"/>
  <c r="GP72" i="1"/>
  <c r="GV72" i="1"/>
  <c r="GX72" i="1"/>
  <c r="GY72" i="1"/>
  <c r="CK85" i="1" s="1"/>
  <c r="GZ72" i="1"/>
  <c r="HC72" i="1"/>
  <c r="I73" i="1"/>
  <c r="P73" i="1" s="1"/>
  <c r="S73" i="1"/>
  <c r="CY73" i="1" s="1"/>
  <c r="X73" i="1" s="1"/>
  <c r="T73" i="1"/>
  <c r="W73" i="1"/>
  <c r="AC73" i="1"/>
  <c r="AE73" i="1"/>
  <c r="AF73" i="1"/>
  <c r="CT73" i="1" s="1"/>
  <c r="AG73" i="1"/>
  <c r="AH73" i="1"/>
  <c r="CV73" i="1" s="1"/>
  <c r="U73" i="1" s="1"/>
  <c r="AI73" i="1"/>
  <c r="AJ73" i="1"/>
  <c r="CQ73" i="1"/>
  <c r="CU73" i="1"/>
  <c r="CW73" i="1"/>
  <c r="V73" i="1" s="1"/>
  <c r="CX73" i="1"/>
  <c r="CZ73" i="1"/>
  <c r="Y73" i="1" s="1"/>
  <c r="FR73" i="1"/>
  <c r="GL73" i="1"/>
  <c r="GO73" i="1"/>
  <c r="GP73" i="1"/>
  <c r="GV73" i="1"/>
  <c r="HC73" i="1"/>
  <c r="GX73" i="1" s="1"/>
  <c r="I74" i="1"/>
  <c r="R74" i="1" s="1"/>
  <c r="GK74" i="1" s="1"/>
  <c r="Q74" i="1"/>
  <c r="U74" i="1"/>
  <c r="V74" i="1"/>
  <c r="AC74" i="1"/>
  <c r="P74" i="1" s="1"/>
  <c r="AD74" i="1"/>
  <c r="AE74" i="1"/>
  <c r="AF74" i="1"/>
  <c r="CT74" i="1" s="1"/>
  <c r="AG74" i="1"/>
  <c r="AH74" i="1"/>
  <c r="AI74" i="1"/>
  <c r="AJ74" i="1"/>
  <c r="CR74" i="1"/>
  <c r="CS74" i="1"/>
  <c r="CU74" i="1"/>
  <c r="T74" i="1" s="1"/>
  <c r="CV74" i="1"/>
  <c r="CW74" i="1"/>
  <c r="CX74" i="1"/>
  <c r="W74" i="1" s="1"/>
  <c r="FR74" i="1"/>
  <c r="GL74" i="1"/>
  <c r="GO74" i="1"/>
  <c r="GP74" i="1"/>
  <c r="GV74" i="1"/>
  <c r="HC74" i="1" s="1"/>
  <c r="GX74" i="1" s="1"/>
  <c r="I75" i="1"/>
  <c r="R75" i="1" s="1"/>
  <c r="GK75" i="1" s="1"/>
  <c r="P75" i="1"/>
  <c r="CP75" i="1" s="1"/>
  <c r="O75" i="1" s="1"/>
  <c r="Q75" i="1"/>
  <c r="S75" i="1"/>
  <c r="CZ75" i="1" s="1"/>
  <c r="X75" i="1"/>
  <c r="Y75" i="1"/>
  <c r="AC75" i="1"/>
  <c r="AD75" i="1"/>
  <c r="AB75" i="1" s="1"/>
  <c r="AE75" i="1"/>
  <c r="AF75" i="1"/>
  <c r="CT75" i="1" s="1"/>
  <c r="AG75" i="1"/>
  <c r="AH75" i="1"/>
  <c r="AI75" i="1"/>
  <c r="CW75" i="1" s="1"/>
  <c r="V75" i="1" s="1"/>
  <c r="AJ75" i="1"/>
  <c r="CX75" i="1" s="1"/>
  <c r="W75" i="1" s="1"/>
  <c r="CQ75" i="1"/>
  <c r="CR75" i="1"/>
  <c r="CS75" i="1"/>
  <c r="CU75" i="1"/>
  <c r="T75" i="1" s="1"/>
  <c r="CV75" i="1"/>
  <c r="U75" i="1" s="1"/>
  <c r="CY75" i="1"/>
  <c r="FR75" i="1"/>
  <c r="GL75" i="1"/>
  <c r="GN75" i="1"/>
  <c r="GO75" i="1"/>
  <c r="GP75" i="1"/>
  <c r="GV75" i="1"/>
  <c r="GX75" i="1"/>
  <c r="HC75" i="1"/>
  <c r="I76" i="1"/>
  <c r="P76" i="1"/>
  <c r="CP76" i="1" s="1"/>
  <c r="O76" i="1" s="1"/>
  <c r="Q76" i="1"/>
  <c r="T76" i="1"/>
  <c r="X76" i="1"/>
  <c r="AC76" i="1"/>
  <c r="AD76" i="1"/>
  <c r="AB76" i="1" s="1"/>
  <c r="AE76" i="1"/>
  <c r="R76" i="1" s="1"/>
  <c r="GK76" i="1" s="1"/>
  <c r="AF76" i="1"/>
  <c r="S76" i="1" s="1"/>
  <c r="CZ76" i="1" s="1"/>
  <c r="Y76" i="1" s="1"/>
  <c r="AG76" i="1"/>
  <c r="AH76" i="1"/>
  <c r="AI76" i="1"/>
  <c r="AJ76" i="1"/>
  <c r="CX76" i="1" s="1"/>
  <c r="W76" i="1" s="1"/>
  <c r="CQ76" i="1"/>
  <c r="CR76" i="1"/>
  <c r="CS76" i="1"/>
  <c r="CT76" i="1"/>
  <c r="CU76" i="1"/>
  <c r="CV76" i="1"/>
  <c r="U76" i="1" s="1"/>
  <c r="CW76" i="1"/>
  <c r="V76" i="1" s="1"/>
  <c r="CY76" i="1"/>
  <c r="FR76" i="1"/>
  <c r="GL76" i="1"/>
  <c r="GO76" i="1"/>
  <c r="GP76" i="1"/>
  <c r="GV76" i="1"/>
  <c r="GX76" i="1"/>
  <c r="HC76" i="1"/>
  <c r="C77" i="1"/>
  <c r="D77" i="1"/>
  <c r="Q77" i="1"/>
  <c r="CP77" i="1" s="1"/>
  <c r="O77" i="1" s="1"/>
  <c r="T77" i="1"/>
  <c r="U77" i="1"/>
  <c r="AC77" i="1"/>
  <c r="P77" i="1" s="1"/>
  <c r="AE77" i="1"/>
  <c r="R77" i="1" s="1"/>
  <c r="GK77" i="1" s="1"/>
  <c r="AF77" i="1"/>
  <c r="S77" i="1" s="1"/>
  <c r="AG77" i="1"/>
  <c r="CU77" i="1" s="1"/>
  <c r="AH77" i="1"/>
  <c r="AI77" i="1"/>
  <c r="AJ77" i="1"/>
  <c r="CX77" i="1" s="1"/>
  <c r="W77" i="1" s="1"/>
  <c r="CR77" i="1"/>
  <c r="CV77" i="1"/>
  <c r="CW77" i="1"/>
  <c r="V77" i="1" s="1"/>
  <c r="FR77" i="1"/>
  <c r="GL77" i="1"/>
  <c r="GO77" i="1"/>
  <c r="CC85" i="1" s="1"/>
  <c r="GP77" i="1"/>
  <c r="GV77" i="1"/>
  <c r="GX77" i="1"/>
  <c r="HC77" i="1"/>
  <c r="I78" i="1"/>
  <c r="Q78" i="1"/>
  <c r="AC78" i="1"/>
  <c r="CQ78" i="1" s="1"/>
  <c r="AE78" i="1"/>
  <c r="R78" i="1" s="1"/>
  <c r="GK78" i="1" s="1"/>
  <c r="AF78" i="1"/>
  <c r="S78" i="1" s="1"/>
  <c r="AG78" i="1"/>
  <c r="CU78" i="1" s="1"/>
  <c r="T78" i="1" s="1"/>
  <c r="AH78" i="1"/>
  <c r="AI78" i="1"/>
  <c r="AJ78" i="1"/>
  <c r="CX78" i="1" s="1"/>
  <c r="W78" i="1" s="1"/>
  <c r="CR78" i="1"/>
  <c r="CV78" i="1"/>
  <c r="U78" i="1" s="1"/>
  <c r="CW78" i="1"/>
  <c r="V78" i="1" s="1"/>
  <c r="FR78" i="1"/>
  <c r="GL78" i="1"/>
  <c r="GO78" i="1"/>
  <c r="GP78" i="1"/>
  <c r="GV78" i="1"/>
  <c r="HC78" i="1" s="1"/>
  <c r="GX78" i="1" s="1"/>
  <c r="C79" i="1"/>
  <c r="D79" i="1"/>
  <c r="I79" i="1"/>
  <c r="V79" i="1"/>
  <c r="AC79" i="1"/>
  <c r="AE79" i="1"/>
  <c r="AF79" i="1"/>
  <c r="AG79" i="1"/>
  <c r="CU79" i="1" s="1"/>
  <c r="AH79" i="1"/>
  <c r="AI79" i="1"/>
  <c r="CW79" i="1" s="1"/>
  <c r="AJ79" i="1"/>
  <c r="CX79" i="1" s="1"/>
  <c r="W79" i="1" s="1"/>
  <c r="CR79" i="1"/>
  <c r="CS79" i="1"/>
  <c r="CV79" i="1"/>
  <c r="FR79" i="1"/>
  <c r="GL79" i="1"/>
  <c r="GO79" i="1"/>
  <c r="GP79" i="1"/>
  <c r="GV79" i="1"/>
  <c r="HC79" i="1" s="1"/>
  <c r="GX79" i="1"/>
  <c r="C80" i="1"/>
  <c r="D80" i="1"/>
  <c r="AC80" i="1"/>
  <c r="CQ80" i="1" s="1"/>
  <c r="AE80" i="1"/>
  <c r="AD80" i="1" s="1"/>
  <c r="AB80" i="1" s="1"/>
  <c r="AF80" i="1"/>
  <c r="CT80" i="1" s="1"/>
  <c r="AG80" i="1"/>
  <c r="CU80" i="1" s="1"/>
  <c r="AH80" i="1"/>
  <c r="AI80" i="1"/>
  <c r="AJ80" i="1"/>
  <c r="CX80" i="1" s="1"/>
  <c r="CR80" i="1"/>
  <c r="CV80" i="1"/>
  <c r="CW80" i="1"/>
  <c r="FR80" i="1"/>
  <c r="GL80" i="1"/>
  <c r="GN80" i="1"/>
  <c r="GO80" i="1"/>
  <c r="GV80" i="1"/>
  <c r="HC80" i="1"/>
  <c r="C81" i="1"/>
  <c r="D81" i="1"/>
  <c r="AB81" i="1"/>
  <c r="AC81" i="1"/>
  <c r="CQ81" i="1" s="1"/>
  <c r="AD81" i="1"/>
  <c r="AE81" i="1"/>
  <c r="AF81" i="1"/>
  <c r="AG81" i="1"/>
  <c r="CU81" i="1" s="1"/>
  <c r="AH81" i="1"/>
  <c r="CV81" i="1" s="1"/>
  <c r="AI81" i="1"/>
  <c r="AJ81" i="1"/>
  <c r="CX81" i="1" s="1"/>
  <c r="CR81" i="1"/>
  <c r="CS81" i="1"/>
  <c r="CT81" i="1"/>
  <c r="CW81" i="1"/>
  <c r="FR81" i="1"/>
  <c r="GL81" i="1"/>
  <c r="BZ85" i="1" s="1"/>
  <c r="BZ70" i="1" s="1"/>
  <c r="GN81" i="1"/>
  <c r="GO81" i="1"/>
  <c r="GV81" i="1"/>
  <c r="HC81" i="1"/>
  <c r="C82" i="1"/>
  <c r="D82" i="1"/>
  <c r="I82" i="1"/>
  <c r="CX34" i="3" s="1"/>
  <c r="S82" i="1"/>
  <c r="CZ82" i="1" s="1"/>
  <c r="Y82" i="1" s="1"/>
  <c r="T82" i="1"/>
  <c r="W82" i="1"/>
  <c r="AC82" i="1"/>
  <c r="P82" i="1" s="1"/>
  <c r="AD82" i="1"/>
  <c r="AE82" i="1"/>
  <c r="CS82" i="1" s="1"/>
  <c r="AF82" i="1"/>
  <c r="AG82" i="1"/>
  <c r="CU82" i="1" s="1"/>
  <c r="AH82" i="1"/>
  <c r="CV82" i="1" s="1"/>
  <c r="U82" i="1" s="1"/>
  <c r="AI82" i="1"/>
  <c r="CW82" i="1" s="1"/>
  <c r="V82" i="1" s="1"/>
  <c r="AJ82" i="1"/>
  <c r="CQ82" i="1"/>
  <c r="CR82" i="1"/>
  <c r="CT82" i="1"/>
  <c r="CX82" i="1"/>
  <c r="CY82" i="1"/>
  <c r="X82" i="1" s="1"/>
  <c r="FR82" i="1"/>
  <c r="GL82" i="1"/>
  <c r="GN82" i="1"/>
  <c r="GO82" i="1"/>
  <c r="GV82" i="1"/>
  <c r="HC82" i="1" s="1"/>
  <c r="GX82" i="1" s="1"/>
  <c r="C83" i="1"/>
  <c r="D83" i="1"/>
  <c r="I83" i="1"/>
  <c r="CX35" i="3" s="1"/>
  <c r="P83" i="1"/>
  <c r="Q83" i="1"/>
  <c r="R83" i="1"/>
  <c r="T83" i="1"/>
  <c r="AC83" i="1"/>
  <c r="AD83" i="1"/>
  <c r="AB83" i="1" s="1"/>
  <c r="AE83" i="1"/>
  <c r="CS83" i="1" s="1"/>
  <c r="AF83" i="1"/>
  <c r="S83" i="1" s="1"/>
  <c r="CZ83" i="1" s="1"/>
  <c r="Y83" i="1" s="1"/>
  <c r="AG83" i="1"/>
  <c r="AH83" i="1"/>
  <c r="AI83" i="1"/>
  <c r="CW83" i="1" s="1"/>
  <c r="V83" i="1" s="1"/>
  <c r="AJ83" i="1"/>
  <c r="CX83" i="1" s="1"/>
  <c r="W83" i="1" s="1"/>
  <c r="CQ83" i="1"/>
  <c r="CR83" i="1"/>
  <c r="CU83" i="1"/>
  <c r="CV83" i="1"/>
  <c r="U83" i="1" s="1"/>
  <c r="CY83" i="1"/>
  <c r="X83" i="1" s="1"/>
  <c r="FR83" i="1"/>
  <c r="GL83" i="1"/>
  <c r="GN83" i="1"/>
  <c r="GO83" i="1"/>
  <c r="GV83" i="1"/>
  <c r="HC83" i="1" s="1"/>
  <c r="GX83" i="1" s="1"/>
  <c r="B85" i="1"/>
  <c r="B70" i="1" s="1"/>
  <c r="C85" i="1"/>
  <c r="C70" i="1" s="1"/>
  <c r="D85" i="1"/>
  <c r="D70" i="1" s="1"/>
  <c r="F85" i="1"/>
  <c r="F70" i="1" s="1"/>
  <c r="G85" i="1"/>
  <c r="G70" i="1" s="1"/>
  <c r="BC85" i="1"/>
  <c r="BX85" i="1"/>
  <c r="BY85" i="1"/>
  <c r="CG85" i="1"/>
  <c r="CL85" i="1"/>
  <c r="CL70" i="1" s="1"/>
  <c r="D114" i="1"/>
  <c r="E116" i="1"/>
  <c r="Z116" i="1"/>
  <c r="AA116" i="1"/>
  <c r="AM116" i="1"/>
  <c r="AN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BP116" i="1"/>
  <c r="BQ116" i="1"/>
  <c r="BR116" i="1"/>
  <c r="BS116" i="1"/>
  <c r="BT116" i="1"/>
  <c r="BU116" i="1"/>
  <c r="BV116" i="1"/>
  <c r="BW116" i="1"/>
  <c r="CM116" i="1"/>
  <c r="CN116" i="1"/>
  <c r="CO116" i="1"/>
  <c r="CP116" i="1"/>
  <c r="CQ116" i="1"/>
  <c r="CR116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DF116" i="1"/>
  <c r="DG116" i="1"/>
  <c r="DH116" i="1"/>
  <c r="DI116" i="1"/>
  <c r="DJ116" i="1"/>
  <c r="DK116" i="1"/>
  <c r="DL116" i="1"/>
  <c r="DM116" i="1"/>
  <c r="DN116" i="1"/>
  <c r="DO116" i="1"/>
  <c r="DP116" i="1"/>
  <c r="DQ116" i="1"/>
  <c r="DR116" i="1"/>
  <c r="DS116" i="1"/>
  <c r="DT116" i="1"/>
  <c r="DU116" i="1"/>
  <c r="DV116" i="1"/>
  <c r="DW116" i="1"/>
  <c r="DX116" i="1"/>
  <c r="DY116" i="1"/>
  <c r="DZ116" i="1"/>
  <c r="EA116" i="1"/>
  <c r="EB116" i="1"/>
  <c r="EC116" i="1"/>
  <c r="ED116" i="1"/>
  <c r="EE116" i="1"/>
  <c r="EF116" i="1"/>
  <c r="EG116" i="1"/>
  <c r="EH116" i="1"/>
  <c r="EI116" i="1"/>
  <c r="EJ116" i="1"/>
  <c r="EK116" i="1"/>
  <c r="EL116" i="1"/>
  <c r="EM116" i="1"/>
  <c r="EN116" i="1"/>
  <c r="EO116" i="1"/>
  <c r="EP116" i="1"/>
  <c r="EQ116" i="1"/>
  <c r="ER116" i="1"/>
  <c r="ES116" i="1"/>
  <c r="ET116" i="1"/>
  <c r="EU116" i="1"/>
  <c r="EV116" i="1"/>
  <c r="EW116" i="1"/>
  <c r="EX116" i="1"/>
  <c r="EY116" i="1"/>
  <c r="EZ116" i="1"/>
  <c r="FA116" i="1"/>
  <c r="FB116" i="1"/>
  <c r="FC116" i="1"/>
  <c r="FD116" i="1"/>
  <c r="FE116" i="1"/>
  <c r="FF116" i="1"/>
  <c r="FG116" i="1"/>
  <c r="FH116" i="1"/>
  <c r="FI116" i="1"/>
  <c r="FJ116" i="1"/>
  <c r="FK116" i="1"/>
  <c r="FL116" i="1"/>
  <c r="FM116" i="1"/>
  <c r="FN116" i="1"/>
  <c r="FO116" i="1"/>
  <c r="FP116" i="1"/>
  <c r="FQ116" i="1"/>
  <c r="FR116" i="1"/>
  <c r="FS116" i="1"/>
  <c r="FT116" i="1"/>
  <c r="FU116" i="1"/>
  <c r="FV116" i="1"/>
  <c r="FW116" i="1"/>
  <c r="FX116" i="1"/>
  <c r="FY116" i="1"/>
  <c r="FZ116" i="1"/>
  <c r="GA116" i="1"/>
  <c r="GB116" i="1"/>
  <c r="GC116" i="1"/>
  <c r="GD116" i="1"/>
  <c r="GE116" i="1"/>
  <c r="GF116" i="1"/>
  <c r="GG116" i="1"/>
  <c r="GH116" i="1"/>
  <c r="GI116" i="1"/>
  <c r="GJ116" i="1"/>
  <c r="GK116" i="1"/>
  <c r="GL116" i="1"/>
  <c r="GM116" i="1"/>
  <c r="GN116" i="1"/>
  <c r="GO116" i="1"/>
  <c r="GP116" i="1"/>
  <c r="GQ116" i="1"/>
  <c r="GR116" i="1"/>
  <c r="GS116" i="1"/>
  <c r="GT116" i="1"/>
  <c r="GU116" i="1"/>
  <c r="GV116" i="1"/>
  <c r="GW116" i="1"/>
  <c r="GX116" i="1"/>
  <c r="C118" i="1"/>
  <c r="D118" i="1"/>
  <c r="P118" i="1"/>
  <c r="Q118" i="1"/>
  <c r="S118" i="1"/>
  <c r="T118" i="1"/>
  <c r="X118" i="1"/>
  <c r="AB118" i="1"/>
  <c r="AC118" i="1"/>
  <c r="AD118" i="1"/>
  <c r="AE118" i="1"/>
  <c r="R118" i="1" s="1"/>
  <c r="AF118" i="1"/>
  <c r="AG118" i="1"/>
  <c r="AH118" i="1"/>
  <c r="CV118" i="1" s="1"/>
  <c r="U118" i="1" s="1"/>
  <c r="AI118" i="1"/>
  <c r="CW118" i="1" s="1"/>
  <c r="V118" i="1" s="1"/>
  <c r="AJ118" i="1"/>
  <c r="CX118" i="1" s="1"/>
  <c r="W118" i="1" s="1"/>
  <c r="CQ118" i="1"/>
  <c r="CR118" i="1"/>
  <c r="CS118" i="1"/>
  <c r="CU118" i="1"/>
  <c r="CY118" i="1"/>
  <c r="CZ118" i="1"/>
  <c r="Y118" i="1" s="1"/>
  <c r="FR118" i="1"/>
  <c r="GL118" i="1"/>
  <c r="GO118" i="1"/>
  <c r="GP118" i="1"/>
  <c r="GV118" i="1"/>
  <c r="GY118" i="1"/>
  <c r="HC118" i="1"/>
  <c r="GX118" i="1" s="1"/>
  <c r="I119" i="1"/>
  <c r="R119" i="1"/>
  <c r="GK119" i="1" s="1"/>
  <c r="S119" i="1"/>
  <c r="CY119" i="1" s="1"/>
  <c r="X119" i="1" s="1"/>
  <c r="U119" i="1"/>
  <c r="Y119" i="1"/>
  <c r="AC119" i="1"/>
  <c r="AE119" i="1"/>
  <c r="Q119" i="1" s="1"/>
  <c r="AF119" i="1"/>
  <c r="CT119" i="1" s="1"/>
  <c r="AG119" i="1"/>
  <c r="CU119" i="1" s="1"/>
  <c r="T119" i="1" s="1"/>
  <c r="AH119" i="1"/>
  <c r="AI119" i="1"/>
  <c r="CW119" i="1" s="1"/>
  <c r="V119" i="1" s="1"/>
  <c r="AJ119" i="1"/>
  <c r="CX119" i="1" s="1"/>
  <c r="W119" i="1" s="1"/>
  <c r="CR119" i="1"/>
  <c r="CV119" i="1"/>
  <c r="CZ119" i="1"/>
  <c r="FR119" i="1"/>
  <c r="GL119" i="1"/>
  <c r="GO119" i="1"/>
  <c r="GP119" i="1"/>
  <c r="GV119" i="1"/>
  <c r="HC119" i="1" s="1"/>
  <c r="GX119" i="1" s="1"/>
  <c r="I120" i="1"/>
  <c r="P120" i="1"/>
  <c r="Q120" i="1"/>
  <c r="S120" i="1"/>
  <c r="W120" i="1"/>
  <c r="AC120" i="1"/>
  <c r="AD120" i="1"/>
  <c r="AE120" i="1"/>
  <c r="R120" i="1" s="1"/>
  <c r="AF120" i="1"/>
  <c r="AG120" i="1"/>
  <c r="AH120" i="1"/>
  <c r="AI120" i="1"/>
  <c r="CW120" i="1" s="1"/>
  <c r="V120" i="1" s="1"/>
  <c r="AJ120" i="1"/>
  <c r="CQ120" i="1"/>
  <c r="CR120" i="1"/>
  <c r="CT120" i="1"/>
  <c r="CU120" i="1"/>
  <c r="T120" i="1" s="1"/>
  <c r="CV120" i="1"/>
  <c r="U120" i="1" s="1"/>
  <c r="CX120" i="1"/>
  <c r="FR120" i="1"/>
  <c r="GK120" i="1"/>
  <c r="GL120" i="1"/>
  <c r="GO120" i="1"/>
  <c r="GP120" i="1"/>
  <c r="GV120" i="1"/>
  <c r="HC120" i="1"/>
  <c r="GX120" i="1" s="1"/>
  <c r="C121" i="1"/>
  <c r="D121" i="1"/>
  <c r="I121" i="1"/>
  <c r="CX39" i="3" s="1"/>
  <c r="P121" i="1"/>
  <c r="Q121" i="1"/>
  <c r="S121" i="1"/>
  <c r="W121" i="1"/>
  <c r="AC121" i="1"/>
  <c r="AB121" i="1" s="1"/>
  <c r="AD121" i="1"/>
  <c r="AE121" i="1"/>
  <c r="AF121" i="1"/>
  <c r="AG121" i="1"/>
  <c r="AH121" i="1"/>
  <c r="AI121" i="1"/>
  <c r="CW121" i="1" s="1"/>
  <c r="V121" i="1" s="1"/>
  <c r="AJ121" i="1"/>
  <c r="CQ121" i="1"/>
  <c r="CR121" i="1"/>
  <c r="CT121" i="1"/>
  <c r="CU121" i="1"/>
  <c r="T121" i="1" s="1"/>
  <c r="CV121" i="1"/>
  <c r="U121" i="1" s="1"/>
  <c r="CX121" i="1"/>
  <c r="CY121" i="1"/>
  <c r="X121" i="1" s="1"/>
  <c r="CZ121" i="1"/>
  <c r="Y121" i="1" s="1"/>
  <c r="FR121" i="1"/>
  <c r="GL121" i="1"/>
  <c r="GO121" i="1"/>
  <c r="GP121" i="1"/>
  <c r="GV121" i="1"/>
  <c r="HC121" i="1" s="1"/>
  <c r="GX121" i="1" s="1"/>
  <c r="GZ121" i="1"/>
  <c r="C122" i="1"/>
  <c r="D122" i="1"/>
  <c r="I122" i="1"/>
  <c r="Q122" i="1"/>
  <c r="R122" i="1"/>
  <c r="S122" i="1"/>
  <c r="AC122" i="1"/>
  <c r="AD122" i="1"/>
  <c r="AE122" i="1"/>
  <c r="AF122" i="1"/>
  <c r="AG122" i="1"/>
  <c r="CU122" i="1" s="1"/>
  <c r="T122" i="1" s="1"/>
  <c r="AH122" i="1"/>
  <c r="AI122" i="1"/>
  <c r="CW122" i="1" s="1"/>
  <c r="V122" i="1" s="1"/>
  <c r="AJ122" i="1"/>
  <c r="CQ122" i="1"/>
  <c r="CR122" i="1"/>
  <c r="CS122" i="1"/>
  <c r="CT122" i="1"/>
  <c r="CV122" i="1"/>
  <c r="U122" i="1" s="1"/>
  <c r="CX122" i="1"/>
  <c r="W122" i="1" s="1"/>
  <c r="CY122" i="1"/>
  <c r="X122" i="1" s="1"/>
  <c r="CZ122" i="1"/>
  <c r="Y122" i="1" s="1"/>
  <c r="FR122" i="1"/>
  <c r="GL122" i="1"/>
  <c r="GO122" i="1"/>
  <c r="GP122" i="1"/>
  <c r="GV122" i="1"/>
  <c r="HC122" i="1" s="1"/>
  <c r="GX122" i="1" s="1"/>
  <c r="GZ122" i="1"/>
  <c r="I123" i="1"/>
  <c r="P123" i="1"/>
  <c r="Q123" i="1"/>
  <c r="V123" i="1"/>
  <c r="AC123" i="1"/>
  <c r="AD123" i="1"/>
  <c r="AE123" i="1"/>
  <c r="AF123" i="1"/>
  <c r="AG123" i="1"/>
  <c r="AH123" i="1"/>
  <c r="CV123" i="1" s="1"/>
  <c r="U123" i="1" s="1"/>
  <c r="AI123" i="1"/>
  <c r="CW123" i="1" s="1"/>
  <c r="AJ123" i="1"/>
  <c r="CX123" i="1" s="1"/>
  <c r="W123" i="1" s="1"/>
  <c r="CQ123" i="1"/>
  <c r="CR123" i="1"/>
  <c r="CS123" i="1"/>
  <c r="CU123" i="1"/>
  <c r="T123" i="1" s="1"/>
  <c r="FR123" i="1"/>
  <c r="GL123" i="1"/>
  <c r="BZ130" i="1" s="1"/>
  <c r="GO123" i="1"/>
  <c r="GP123" i="1"/>
  <c r="GV123" i="1"/>
  <c r="GX123" i="1"/>
  <c r="HC123" i="1"/>
  <c r="C124" i="1"/>
  <c r="D124" i="1"/>
  <c r="AC124" i="1"/>
  <c r="AE124" i="1"/>
  <c r="AF124" i="1"/>
  <c r="CT124" i="1" s="1"/>
  <c r="AG124" i="1"/>
  <c r="AH124" i="1"/>
  <c r="CV124" i="1" s="1"/>
  <c r="AI124" i="1"/>
  <c r="AJ124" i="1"/>
  <c r="CX124" i="1" s="1"/>
  <c r="CQ124" i="1"/>
  <c r="CU124" i="1"/>
  <c r="CW124" i="1"/>
  <c r="FR124" i="1"/>
  <c r="GL124" i="1"/>
  <c r="GO124" i="1"/>
  <c r="GP124" i="1"/>
  <c r="GV124" i="1"/>
  <c r="HC124" i="1" s="1"/>
  <c r="C125" i="1"/>
  <c r="D125" i="1"/>
  <c r="AC125" i="1"/>
  <c r="AD125" i="1"/>
  <c r="AE125" i="1"/>
  <c r="AF125" i="1"/>
  <c r="AG125" i="1"/>
  <c r="AH125" i="1"/>
  <c r="CV125" i="1" s="1"/>
  <c r="AI125" i="1"/>
  <c r="CW125" i="1" s="1"/>
  <c r="AJ125" i="1"/>
  <c r="CX125" i="1" s="1"/>
  <c r="CQ125" i="1"/>
  <c r="CR125" i="1"/>
  <c r="CS125" i="1"/>
  <c r="CU125" i="1"/>
  <c r="FR125" i="1"/>
  <c r="GL125" i="1"/>
  <c r="GN125" i="1"/>
  <c r="GO125" i="1"/>
  <c r="GV125" i="1"/>
  <c r="HC125" i="1"/>
  <c r="C126" i="1"/>
  <c r="D126" i="1"/>
  <c r="AC126" i="1"/>
  <c r="AE126" i="1"/>
  <c r="AF126" i="1"/>
  <c r="CT126" i="1" s="1"/>
  <c r="AG126" i="1"/>
  <c r="CU126" i="1" s="1"/>
  <c r="AH126" i="1"/>
  <c r="AI126" i="1"/>
  <c r="CW126" i="1" s="1"/>
  <c r="AJ126" i="1"/>
  <c r="CR126" i="1"/>
  <c r="CS126" i="1"/>
  <c r="CV126" i="1"/>
  <c r="CX126" i="1"/>
  <c r="FR126" i="1"/>
  <c r="GL126" i="1"/>
  <c r="GN126" i="1"/>
  <c r="GO126" i="1"/>
  <c r="GV126" i="1"/>
  <c r="HC126" i="1"/>
  <c r="C127" i="1"/>
  <c r="D127" i="1"/>
  <c r="I127" i="1"/>
  <c r="CX47" i="3" s="1"/>
  <c r="Q127" i="1"/>
  <c r="R127" i="1"/>
  <c r="S127" i="1"/>
  <c r="AC127" i="1"/>
  <c r="AD127" i="1"/>
  <c r="AE127" i="1"/>
  <c r="AF127" i="1"/>
  <c r="CT127" i="1" s="1"/>
  <c r="AG127" i="1"/>
  <c r="AH127" i="1"/>
  <c r="CV127" i="1" s="1"/>
  <c r="U127" i="1" s="1"/>
  <c r="AI127" i="1"/>
  <c r="AJ127" i="1"/>
  <c r="CX127" i="1" s="1"/>
  <c r="W127" i="1" s="1"/>
  <c r="CR127" i="1"/>
  <c r="CS127" i="1"/>
  <c r="CU127" i="1"/>
  <c r="T127" i="1" s="1"/>
  <c r="CW127" i="1"/>
  <c r="V127" i="1" s="1"/>
  <c r="FR127" i="1"/>
  <c r="GL127" i="1"/>
  <c r="GN127" i="1"/>
  <c r="GO127" i="1"/>
  <c r="GV127" i="1"/>
  <c r="HC127" i="1"/>
  <c r="GX127" i="1" s="1"/>
  <c r="C128" i="1"/>
  <c r="D128" i="1"/>
  <c r="I128" i="1"/>
  <c r="CX48" i="3" s="1"/>
  <c r="P128" i="1"/>
  <c r="W128" i="1"/>
  <c r="AC128" i="1"/>
  <c r="AE128" i="1"/>
  <c r="AF128" i="1"/>
  <c r="S128" i="1" s="1"/>
  <c r="AG128" i="1"/>
  <c r="AH128" i="1"/>
  <c r="CV128" i="1" s="1"/>
  <c r="U128" i="1" s="1"/>
  <c r="AI128" i="1"/>
  <c r="CW128" i="1" s="1"/>
  <c r="V128" i="1" s="1"/>
  <c r="AJ128" i="1"/>
  <c r="CT128" i="1"/>
  <c r="CU128" i="1"/>
  <c r="T128" i="1" s="1"/>
  <c r="CX128" i="1"/>
  <c r="FR128" i="1"/>
  <c r="GL128" i="1"/>
  <c r="GN128" i="1"/>
  <c r="GO128" i="1"/>
  <c r="GV128" i="1"/>
  <c r="GX128" i="1"/>
  <c r="HC128" i="1"/>
  <c r="B130" i="1"/>
  <c r="B116" i="1" s="1"/>
  <c r="C130" i="1"/>
  <c r="C116" i="1" s="1"/>
  <c r="D130" i="1"/>
  <c r="D116" i="1" s="1"/>
  <c r="F130" i="1"/>
  <c r="F116" i="1" s="1"/>
  <c r="G130" i="1"/>
  <c r="G116" i="1" s="1"/>
  <c r="BX130" i="1"/>
  <c r="BX116" i="1" s="1"/>
  <c r="D159" i="1"/>
  <c r="D161" i="1"/>
  <c r="E161" i="1"/>
  <c r="G161" i="1"/>
  <c r="Z161" i="1"/>
  <c r="AA161" i="1"/>
  <c r="AM161" i="1"/>
  <c r="AN161" i="1"/>
  <c r="BD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BR161" i="1"/>
  <c r="BS161" i="1"/>
  <c r="BT161" i="1"/>
  <c r="BU161" i="1"/>
  <c r="BV161" i="1"/>
  <c r="BW161" i="1"/>
  <c r="CM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EG161" i="1"/>
  <c r="EH161" i="1"/>
  <c r="EI161" i="1"/>
  <c r="EJ161" i="1"/>
  <c r="EK161" i="1"/>
  <c r="EL161" i="1"/>
  <c r="EM161" i="1"/>
  <c r="EN161" i="1"/>
  <c r="EO161" i="1"/>
  <c r="EP161" i="1"/>
  <c r="EQ161" i="1"/>
  <c r="ER161" i="1"/>
  <c r="ES161" i="1"/>
  <c r="ET161" i="1"/>
  <c r="EU161" i="1"/>
  <c r="EV161" i="1"/>
  <c r="EW161" i="1"/>
  <c r="EX161" i="1"/>
  <c r="EY161" i="1"/>
  <c r="EZ161" i="1"/>
  <c r="FA161" i="1"/>
  <c r="FB161" i="1"/>
  <c r="FC161" i="1"/>
  <c r="FD161" i="1"/>
  <c r="FE161" i="1"/>
  <c r="FF161" i="1"/>
  <c r="FG161" i="1"/>
  <c r="FH161" i="1"/>
  <c r="FI161" i="1"/>
  <c r="FJ161" i="1"/>
  <c r="FK161" i="1"/>
  <c r="FL161" i="1"/>
  <c r="FM161" i="1"/>
  <c r="FN161" i="1"/>
  <c r="FO161" i="1"/>
  <c r="FP161" i="1"/>
  <c r="FQ161" i="1"/>
  <c r="FR161" i="1"/>
  <c r="FS161" i="1"/>
  <c r="FT161" i="1"/>
  <c r="FU161" i="1"/>
  <c r="FV161" i="1"/>
  <c r="FW161" i="1"/>
  <c r="FX161" i="1"/>
  <c r="FY161" i="1"/>
  <c r="FZ161" i="1"/>
  <c r="GA161" i="1"/>
  <c r="GB161" i="1"/>
  <c r="GC161" i="1"/>
  <c r="GD161" i="1"/>
  <c r="GE161" i="1"/>
  <c r="GF161" i="1"/>
  <c r="GG161" i="1"/>
  <c r="GH161" i="1"/>
  <c r="GI161" i="1"/>
  <c r="GJ161" i="1"/>
  <c r="GK161" i="1"/>
  <c r="GL161" i="1"/>
  <c r="GM161" i="1"/>
  <c r="GN161" i="1"/>
  <c r="GO161" i="1"/>
  <c r="GP161" i="1"/>
  <c r="GQ161" i="1"/>
  <c r="GR161" i="1"/>
  <c r="GS161" i="1"/>
  <c r="GT161" i="1"/>
  <c r="GU161" i="1"/>
  <c r="GV161" i="1"/>
  <c r="GW161" i="1"/>
  <c r="GX161" i="1"/>
  <c r="C163" i="1"/>
  <c r="D163" i="1"/>
  <c r="Q163" i="1"/>
  <c r="R163" i="1"/>
  <c r="S163" i="1"/>
  <c r="T163" i="1"/>
  <c r="AC163" i="1"/>
  <c r="AD163" i="1"/>
  <c r="AE163" i="1"/>
  <c r="CS163" i="1" s="1"/>
  <c r="AF163" i="1"/>
  <c r="AG163" i="1"/>
  <c r="CU163" i="1" s="1"/>
  <c r="AH163" i="1"/>
  <c r="AI163" i="1"/>
  <c r="CW163" i="1" s="1"/>
  <c r="V163" i="1" s="1"/>
  <c r="AJ163" i="1"/>
  <c r="CQ163" i="1"/>
  <c r="CR163" i="1"/>
  <c r="CT163" i="1"/>
  <c r="CV163" i="1"/>
  <c r="U163" i="1" s="1"/>
  <c r="CX163" i="1"/>
  <c r="W163" i="1" s="1"/>
  <c r="CY163" i="1"/>
  <c r="X163" i="1" s="1"/>
  <c r="FR163" i="1"/>
  <c r="GL163" i="1"/>
  <c r="GO163" i="1"/>
  <c r="GP163" i="1"/>
  <c r="GV163" i="1"/>
  <c r="HC163" i="1" s="1"/>
  <c r="GX163" i="1" s="1"/>
  <c r="GY163" i="1"/>
  <c r="GZ163" i="1"/>
  <c r="C164" i="1"/>
  <c r="D164" i="1"/>
  <c r="P164" i="1"/>
  <c r="Q164" i="1"/>
  <c r="R164" i="1"/>
  <c r="S164" i="1"/>
  <c r="CY164" i="1" s="1"/>
  <c r="X164" i="1" s="1"/>
  <c r="W164" i="1"/>
  <c r="AB164" i="1"/>
  <c r="AC164" i="1"/>
  <c r="CQ164" i="1" s="1"/>
  <c r="AE164" i="1"/>
  <c r="AF164" i="1"/>
  <c r="AG164" i="1"/>
  <c r="CU164" i="1" s="1"/>
  <c r="T164" i="1" s="1"/>
  <c r="AH164" i="1"/>
  <c r="CV164" i="1" s="1"/>
  <c r="U164" i="1" s="1"/>
  <c r="AI164" i="1"/>
  <c r="AJ164" i="1"/>
  <c r="CX164" i="1" s="1"/>
  <c r="CT164" i="1"/>
  <c r="CW164" i="1"/>
  <c r="V164" i="1" s="1"/>
  <c r="CZ164" i="1"/>
  <c r="Y164" i="1" s="1"/>
  <c r="FR164" i="1"/>
  <c r="GL164" i="1"/>
  <c r="BZ170" i="1" s="1"/>
  <c r="GO164" i="1"/>
  <c r="GP164" i="1"/>
  <c r="GV164" i="1"/>
  <c r="GZ164" i="1"/>
  <c r="CL170" i="1" s="1"/>
  <c r="CL161" i="1" s="1"/>
  <c r="HC164" i="1"/>
  <c r="GX164" i="1" s="1"/>
  <c r="I165" i="1"/>
  <c r="R165" i="1"/>
  <c r="S165" i="1"/>
  <c r="AB165" i="1"/>
  <c r="AC165" i="1"/>
  <c r="P165" i="1" s="1"/>
  <c r="AD165" i="1"/>
  <c r="AE165" i="1"/>
  <c r="AF165" i="1"/>
  <c r="AG165" i="1"/>
  <c r="AH165" i="1"/>
  <c r="CV165" i="1" s="1"/>
  <c r="U165" i="1" s="1"/>
  <c r="AI165" i="1"/>
  <c r="AJ165" i="1"/>
  <c r="CX165" i="1" s="1"/>
  <c r="W165" i="1" s="1"/>
  <c r="CQ165" i="1"/>
  <c r="CR165" i="1"/>
  <c r="CT165" i="1"/>
  <c r="CU165" i="1"/>
  <c r="T165" i="1" s="1"/>
  <c r="CW165" i="1"/>
  <c r="V165" i="1" s="1"/>
  <c r="CY165" i="1"/>
  <c r="X165" i="1" s="1"/>
  <c r="CZ165" i="1"/>
  <c r="Y165" i="1" s="1"/>
  <c r="FR165" i="1"/>
  <c r="GK165" i="1"/>
  <c r="GL165" i="1"/>
  <c r="GO165" i="1"/>
  <c r="GP165" i="1"/>
  <c r="GV165" i="1"/>
  <c r="HC165" i="1" s="1"/>
  <c r="GX165" i="1" s="1"/>
  <c r="C166" i="1"/>
  <c r="D166" i="1"/>
  <c r="I166" i="1"/>
  <c r="P166" i="1"/>
  <c r="CP166" i="1" s="1"/>
  <c r="O166" i="1" s="1"/>
  <c r="Q166" i="1"/>
  <c r="S166" i="1"/>
  <c r="CZ166" i="1" s="1"/>
  <c r="Y166" i="1"/>
  <c r="AC166" i="1"/>
  <c r="AB166" i="1" s="1"/>
  <c r="AD166" i="1"/>
  <c r="AE166" i="1"/>
  <c r="R166" i="1" s="1"/>
  <c r="AF166" i="1"/>
  <c r="AG166" i="1"/>
  <c r="AH166" i="1"/>
  <c r="AI166" i="1"/>
  <c r="CW166" i="1" s="1"/>
  <c r="V166" i="1" s="1"/>
  <c r="AJ166" i="1"/>
  <c r="CR166" i="1"/>
  <c r="CS166" i="1"/>
  <c r="CT166" i="1"/>
  <c r="CU166" i="1"/>
  <c r="T166" i="1" s="1"/>
  <c r="CV166" i="1"/>
  <c r="U166" i="1" s="1"/>
  <c r="CX166" i="1"/>
  <c r="W166" i="1" s="1"/>
  <c r="CY166" i="1"/>
  <c r="X166" i="1" s="1"/>
  <c r="FR166" i="1"/>
  <c r="BY170" i="1" s="1"/>
  <c r="GK166" i="1"/>
  <c r="GL166" i="1"/>
  <c r="GO166" i="1"/>
  <c r="GP166" i="1"/>
  <c r="GV166" i="1"/>
  <c r="HC166" i="1"/>
  <c r="GX166" i="1" s="1"/>
  <c r="C167" i="1"/>
  <c r="D167" i="1"/>
  <c r="AC167" i="1"/>
  <c r="AE167" i="1"/>
  <c r="AF167" i="1"/>
  <c r="AG167" i="1"/>
  <c r="AH167" i="1"/>
  <c r="CV167" i="1" s="1"/>
  <c r="AI167" i="1"/>
  <c r="AJ167" i="1"/>
  <c r="CX167" i="1" s="1"/>
  <c r="CQ167" i="1"/>
  <c r="CT167" i="1"/>
  <c r="CU167" i="1"/>
  <c r="CW167" i="1"/>
  <c r="FR167" i="1"/>
  <c r="GL167" i="1"/>
  <c r="GN167" i="1"/>
  <c r="GO167" i="1"/>
  <c r="GV167" i="1"/>
  <c r="HC167" i="1" s="1"/>
  <c r="C168" i="1"/>
  <c r="D168" i="1"/>
  <c r="AC168" i="1"/>
  <c r="AE168" i="1"/>
  <c r="CS168" i="1" s="1"/>
  <c r="AF168" i="1"/>
  <c r="AG168" i="1"/>
  <c r="CU168" i="1" s="1"/>
  <c r="AH168" i="1"/>
  <c r="CV168" i="1" s="1"/>
  <c r="AI168" i="1"/>
  <c r="AJ168" i="1"/>
  <c r="CX168" i="1" s="1"/>
  <c r="CQ168" i="1"/>
  <c r="CT168" i="1"/>
  <c r="CW168" i="1"/>
  <c r="FR168" i="1"/>
  <c r="GL168" i="1"/>
  <c r="GN168" i="1"/>
  <c r="GO168" i="1"/>
  <c r="GV168" i="1"/>
  <c r="HC168" i="1" s="1"/>
  <c r="B170" i="1"/>
  <c r="B161" i="1" s="1"/>
  <c r="C170" i="1"/>
  <c r="C161" i="1" s="1"/>
  <c r="D170" i="1"/>
  <c r="F170" i="1"/>
  <c r="F161" i="1" s="1"/>
  <c r="G170" i="1"/>
  <c r="AO170" i="1"/>
  <c r="AO161" i="1" s="1"/>
  <c r="BX170" i="1"/>
  <c r="BX161" i="1" s="1"/>
  <c r="D199" i="1"/>
  <c r="C201" i="1"/>
  <c r="D201" i="1"/>
  <c r="E201" i="1"/>
  <c r="Z201" i="1"/>
  <c r="AA201" i="1"/>
  <c r="AM201" i="1"/>
  <c r="AN201" i="1"/>
  <c r="BC201" i="1"/>
  <c r="BD201" i="1"/>
  <c r="BE201" i="1"/>
  <c r="BF201" i="1"/>
  <c r="BG201" i="1"/>
  <c r="BH201" i="1"/>
  <c r="BI201" i="1"/>
  <c r="BJ201" i="1"/>
  <c r="BK201" i="1"/>
  <c r="BL201" i="1"/>
  <c r="BM201" i="1"/>
  <c r="BN201" i="1"/>
  <c r="BO201" i="1"/>
  <c r="BP201" i="1"/>
  <c r="BQ201" i="1"/>
  <c r="BR201" i="1"/>
  <c r="BS201" i="1"/>
  <c r="BT201" i="1"/>
  <c r="BU201" i="1"/>
  <c r="BV201" i="1"/>
  <c r="BW201" i="1"/>
  <c r="CM201" i="1"/>
  <c r="CN201" i="1"/>
  <c r="CO201" i="1"/>
  <c r="CP201" i="1"/>
  <c r="CQ201" i="1"/>
  <c r="CR201" i="1"/>
  <c r="CS201" i="1"/>
  <c r="CT201" i="1"/>
  <c r="CU201" i="1"/>
  <c r="CV201" i="1"/>
  <c r="CW201" i="1"/>
  <c r="CX201" i="1"/>
  <c r="CY201" i="1"/>
  <c r="CZ201" i="1"/>
  <c r="DA201" i="1"/>
  <c r="DB201" i="1"/>
  <c r="DC201" i="1"/>
  <c r="DD201" i="1"/>
  <c r="DE201" i="1"/>
  <c r="DF201" i="1"/>
  <c r="DG201" i="1"/>
  <c r="DH201" i="1"/>
  <c r="DI201" i="1"/>
  <c r="DJ201" i="1"/>
  <c r="DK201" i="1"/>
  <c r="DL201" i="1"/>
  <c r="DM201" i="1"/>
  <c r="DN201" i="1"/>
  <c r="DO201" i="1"/>
  <c r="DP201" i="1"/>
  <c r="DQ201" i="1"/>
  <c r="DR201" i="1"/>
  <c r="DS201" i="1"/>
  <c r="DT201" i="1"/>
  <c r="DU201" i="1"/>
  <c r="DV201" i="1"/>
  <c r="DW201" i="1"/>
  <c r="DX201" i="1"/>
  <c r="DY201" i="1"/>
  <c r="DZ201" i="1"/>
  <c r="EA201" i="1"/>
  <c r="EB201" i="1"/>
  <c r="EC201" i="1"/>
  <c r="ED201" i="1"/>
  <c r="EE201" i="1"/>
  <c r="EF201" i="1"/>
  <c r="EG201" i="1"/>
  <c r="EH201" i="1"/>
  <c r="EI201" i="1"/>
  <c r="EJ201" i="1"/>
  <c r="EK201" i="1"/>
  <c r="EL201" i="1"/>
  <c r="EM201" i="1"/>
  <c r="EN201" i="1"/>
  <c r="EO201" i="1"/>
  <c r="EP201" i="1"/>
  <c r="EQ201" i="1"/>
  <c r="ER201" i="1"/>
  <c r="ES201" i="1"/>
  <c r="ET201" i="1"/>
  <c r="EU201" i="1"/>
  <c r="EV201" i="1"/>
  <c r="EW201" i="1"/>
  <c r="EX201" i="1"/>
  <c r="EY201" i="1"/>
  <c r="EZ201" i="1"/>
  <c r="FA201" i="1"/>
  <c r="FB201" i="1"/>
  <c r="FC201" i="1"/>
  <c r="FD201" i="1"/>
  <c r="FE201" i="1"/>
  <c r="FF201" i="1"/>
  <c r="FG201" i="1"/>
  <c r="FH201" i="1"/>
  <c r="FI201" i="1"/>
  <c r="FJ201" i="1"/>
  <c r="FK201" i="1"/>
  <c r="FL201" i="1"/>
  <c r="FM201" i="1"/>
  <c r="FN201" i="1"/>
  <c r="FO201" i="1"/>
  <c r="FP201" i="1"/>
  <c r="FQ201" i="1"/>
  <c r="FR201" i="1"/>
  <c r="FS201" i="1"/>
  <c r="FT201" i="1"/>
  <c r="FU201" i="1"/>
  <c r="FV201" i="1"/>
  <c r="FW201" i="1"/>
  <c r="FX201" i="1"/>
  <c r="FY201" i="1"/>
  <c r="FZ201" i="1"/>
  <c r="GA201" i="1"/>
  <c r="GB201" i="1"/>
  <c r="GC201" i="1"/>
  <c r="GD201" i="1"/>
  <c r="GE201" i="1"/>
  <c r="GF201" i="1"/>
  <c r="GG201" i="1"/>
  <c r="GH201" i="1"/>
  <c r="GI201" i="1"/>
  <c r="GJ201" i="1"/>
  <c r="GK201" i="1"/>
  <c r="GL201" i="1"/>
  <c r="GM201" i="1"/>
  <c r="GN201" i="1"/>
  <c r="GO201" i="1"/>
  <c r="GP201" i="1"/>
  <c r="GQ201" i="1"/>
  <c r="GR201" i="1"/>
  <c r="GS201" i="1"/>
  <c r="GT201" i="1"/>
  <c r="GU201" i="1"/>
  <c r="GV201" i="1"/>
  <c r="GW201" i="1"/>
  <c r="GX201" i="1"/>
  <c r="C203" i="1"/>
  <c r="D203" i="1"/>
  <c r="Q203" i="1"/>
  <c r="R203" i="1"/>
  <c r="S203" i="1"/>
  <c r="W203" i="1"/>
  <c r="AC203" i="1"/>
  <c r="CQ203" i="1" s="1"/>
  <c r="AD203" i="1"/>
  <c r="AE203" i="1"/>
  <c r="AF203" i="1"/>
  <c r="AG203" i="1"/>
  <c r="CU203" i="1" s="1"/>
  <c r="T203" i="1" s="1"/>
  <c r="AH203" i="1"/>
  <c r="AI203" i="1"/>
  <c r="AJ203" i="1"/>
  <c r="CR203" i="1"/>
  <c r="CS203" i="1"/>
  <c r="CT203" i="1"/>
  <c r="CV203" i="1"/>
  <c r="U203" i="1" s="1"/>
  <c r="CW203" i="1"/>
  <c r="V203" i="1" s="1"/>
  <c r="CX203" i="1"/>
  <c r="CY203" i="1"/>
  <c r="X203" i="1" s="1"/>
  <c r="CZ203" i="1"/>
  <c r="Y203" i="1" s="1"/>
  <c r="FR203" i="1"/>
  <c r="GL203" i="1"/>
  <c r="GO203" i="1"/>
  <c r="GP203" i="1"/>
  <c r="GV203" i="1"/>
  <c r="HC203" i="1" s="1"/>
  <c r="GX203" i="1"/>
  <c r="GY203" i="1"/>
  <c r="GZ203" i="1"/>
  <c r="C204" i="1"/>
  <c r="D204" i="1"/>
  <c r="I204" i="1"/>
  <c r="P204" i="1" s="1"/>
  <c r="AC204" i="1"/>
  <c r="AE204" i="1"/>
  <c r="AF204" i="1"/>
  <c r="AG204" i="1"/>
  <c r="AH204" i="1"/>
  <c r="AI204" i="1"/>
  <c r="AJ204" i="1"/>
  <c r="CX204" i="1" s="1"/>
  <c r="W204" i="1" s="1"/>
  <c r="CQ204" i="1"/>
  <c r="CT204" i="1"/>
  <c r="CU204" i="1"/>
  <c r="T204" i="1" s="1"/>
  <c r="CV204" i="1"/>
  <c r="U204" i="1" s="1"/>
  <c r="I241" i="5" s="1"/>
  <c r="CW204" i="1"/>
  <c r="FR204" i="1"/>
  <c r="GL204" i="1"/>
  <c r="GO204" i="1"/>
  <c r="GP204" i="1"/>
  <c r="GV204" i="1"/>
  <c r="HC204" i="1" s="1"/>
  <c r="GX204" i="1" s="1"/>
  <c r="AC205" i="1"/>
  <c r="AE205" i="1"/>
  <c r="AF205" i="1"/>
  <c r="AG205" i="1"/>
  <c r="CU205" i="1" s="1"/>
  <c r="AH205" i="1"/>
  <c r="CV205" i="1" s="1"/>
  <c r="AI205" i="1"/>
  <c r="AJ205" i="1"/>
  <c r="CQ205" i="1"/>
  <c r="CT205" i="1"/>
  <c r="CW205" i="1"/>
  <c r="CX205" i="1"/>
  <c r="FR205" i="1"/>
  <c r="GL205" i="1"/>
  <c r="GO205" i="1"/>
  <c r="GP205" i="1"/>
  <c r="GV205" i="1"/>
  <c r="HC205" i="1"/>
  <c r="AC206" i="1"/>
  <c r="AD206" i="1"/>
  <c r="AE206" i="1"/>
  <c r="AF206" i="1"/>
  <c r="AG206" i="1"/>
  <c r="AH206" i="1"/>
  <c r="AI206" i="1"/>
  <c r="AJ206" i="1"/>
  <c r="CQ206" i="1"/>
  <c r="CR206" i="1"/>
  <c r="CS206" i="1"/>
  <c r="CU206" i="1"/>
  <c r="CV206" i="1"/>
  <c r="CW206" i="1"/>
  <c r="CX206" i="1"/>
  <c r="FR206" i="1"/>
  <c r="GL206" i="1"/>
  <c r="GO206" i="1"/>
  <c r="GP206" i="1"/>
  <c r="GV206" i="1"/>
  <c r="HC206" i="1" s="1"/>
  <c r="C207" i="1"/>
  <c r="D207" i="1"/>
  <c r="I207" i="1"/>
  <c r="V207" i="1"/>
  <c r="W207" i="1"/>
  <c r="AC207" i="1"/>
  <c r="AD207" i="1"/>
  <c r="AB207" i="1" s="1"/>
  <c r="AE207" i="1"/>
  <c r="AF207" i="1"/>
  <c r="S207" i="1" s="1"/>
  <c r="AG207" i="1"/>
  <c r="AH207" i="1"/>
  <c r="AI207" i="1"/>
  <c r="AJ207" i="1"/>
  <c r="CX207" i="1" s="1"/>
  <c r="CQ207" i="1"/>
  <c r="CR207" i="1"/>
  <c r="CS207" i="1"/>
  <c r="CT207" i="1"/>
  <c r="CU207" i="1"/>
  <c r="T207" i="1" s="1"/>
  <c r="CV207" i="1"/>
  <c r="CW207" i="1"/>
  <c r="FR207" i="1"/>
  <c r="GL207" i="1"/>
  <c r="GO207" i="1"/>
  <c r="GP207" i="1"/>
  <c r="GV207" i="1"/>
  <c r="HC207" i="1" s="1"/>
  <c r="GX207" i="1" s="1"/>
  <c r="I208" i="1"/>
  <c r="Q208" i="1" s="1"/>
  <c r="W208" i="1"/>
  <c r="AC208" i="1"/>
  <c r="P208" i="1" s="1"/>
  <c r="CP208" i="1" s="1"/>
  <c r="O208" i="1" s="1"/>
  <c r="AE208" i="1"/>
  <c r="R208" i="1" s="1"/>
  <c r="GK208" i="1" s="1"/>
  <c r="AF208" i="1"/>
  <c r="S208" i="1" s="1"/>
  <c r="AG208" i="1"/>
  <c r="AH208" i="1"/>
  <c r="CV208" i="1" s="1"/>
  <c r="U208" i="1" s="1"/>
  <c r="AI208" i="1"/>
  <c r="AJ208" i="1"/>
  <c r="CQ208" i="1"/>
  <c r="CR208" i="1"/>
  <c r="CS208" i="1"/>
  <c r="CU208" i="1"/>
  <c r="T208" i="1" s="1"/>
  <c r="CW208" i="1"/>
  <c r="V208" i="1" s="1"/>
  <c r="CX208" i="1"/>
  <c r="FR208" i="1"/>
  <c r="GL208" i="1"/>
  <c r="GO208" i="1"/>
  <c r="GP208" i="1"/>
  <c r="GV208" i="1"/>
  <c r="HC208" i="1"/>
  <c r="GX208" i="1" s="1"/>
  <c r="C209" i="1"/>
  <c r="D209" i="1"/>
  <c r="I209" i="1"/>
  <c r="W209" i="1"/>
  <c r="AC209" i="1"/>
  <c r="P209" i="1" s="1"/>
  <c r="AD209" i="1"/>
  <c r="AE209" i="1"/>
  <c r="AF209" i="1"/>
  <c r="AG209" i="1"/>
  <c r="AH209" i="1"/>
  <c r="CV209" i="1" s="1"/>
  <c r="U209" i="1" s="1"/>
  <c r="AI209" i="1"/>
  <c r="AJ209" i="1"/>
  <c r="CQ209" i="1"/>
  <c r="CR209" i="1"/>
  <c r="CS209" i="1"/>
  <c r="CT209" i="1"/>
  <c r="CU209" i="1"/>
  <c r="T209" i="1" s="1"/>
  <c r="CW209" i="1"/>
  <c r="V209" i="1" s="1"/>
  <c r="CX209" i="1"/>
  <c r="FR209" i="1"/>
  <c r="GL209" i="1"/>
  <c r="GO209" i="1"/>
  <c r="GP209" i="1"/>
  <c r="GV209" i="1"/>
  <c r="HC209" i="1"/>
  <c r="I210" i="1"/>
  <c r="W210" i="1" s="1"/>
  <c r="AC210" i="1"/>
  <c r="AE210" i="1"/>
  <c r="AF210" i="1"/>
  <c r="AG210" i="1"/>
  <c r="CU210" i="1" s="1"/>
  <c r="T210" i="1" s="1"/>
  <c r="AH210" i="1"/>
  <c r="CV210" i="1" s="1"/>
  <c r="U210" i="1" s="1"/>
  <c r="AI210" i="1"/>
  <c r="AJ210" i="1"/>
  <c r="CX210" i="1" s="1"/>
  <c r="CQ210" i="1"/>
  <c r="CS210" i="1"/>
  <c r="CT210" i="1"/>
  <c r="CW210" i="1"/>
  <c r="FR210" i="1"/>
  <c r="GL210" i="1"/>
  <c r="GO210" i="1"/>
  <c r="GP210" i="1"/>
  <c r="GV210" i="1"/>
  <c r="HC210" i="1"/>
  <c r="GX210" i="1" s="1"/>
  <c r="C211" i="1"/>
  <c r="D211" i="1"/>
  <c r="AC211" i="1"/>
  <c r="AE211" i="1"/>
  <c r="AF211" i="1"/>
  <c r="CT211" i="1" s="1"/>
  <c r="AG211" i="1"/>
  <c r="AH211" i="1"/>
  <c r="AI211" i="1"/>
  <c r="AJ211" i="1"/>
  <c r="CQ211" i="1"/>
  <c r="CR211" i="1"/>
  <c r="CU211" i="1"/>
  <c r="CV211" i="1"/>
  <c r="CW211" i="1"/>
  <c r="CX211" i="1"/>
  <c r="FR211" i="1"/>
  <c r="GL211" i="1"/>
  <c r="GO211" i="1"/>
  <c r="GP211" i="1"/>
  <c r="GV211" i="1"/>
  <c r="HC211" i="1" s="1"/>
  <c r="C212" i="1"/>
  <c r="D212" i="1"/>
  <c r="AC212" i="1"/>
  <c r="AE212" i="1"/>
  <c r="AF212" i="1"/>
  <c r="AG212" i="1"/>
  <c r="CU212" i="1" s="1"/>
  <c r="AH212" i="1"/>
  <c r="AI212" i="1"/>
  <c r="AJ212" i="1"/>
  <c r="CQ212" i="1"/>
  <c r="CS212" i="1"/>
  <c r="CT212" i="1"/>
  <c r="CV212" i="1"/>
  <c r="CW212" i="1"/>
  <c r="CX212" i="1"/>
  <c r="FR212" i="1"/>
  <c r="GL212" i="1"/>
  <c r="GN212" i="1"/>
  <c r="GO212" i="1"/>
  <c r="GV212" i="1"/>
  <c r="HC212" i="1"/>
  <c r="C213" i="1"/>
  <c r="D213" i="1"/>
  <c r="I213" i="1"/>
  <c r="U213" i="1"/>
  <c r="V213" i="1"/>
  <c r="AC213" i="1"/>
  <c r="P213" i="1" s="1"/>
  <c r="AE213" i="1"/>
  <c r="AF213" i="1"/>
  <c r="AG213" i="1"/>
  <c r="AH213" i="1"/>
  <c r="AI213" i="1"/>
  <c r="AJ213" i="1"/>
  <c r="CU213" i="1"/>
  <c r="T213" i="1" s="1"/>
  <c r="CV213" i="1"/>
  <c r="CW213" i="1"/>
  <c r="CX213" i="1"/>
  <c r="FR213" i="1"/>
  <c r="GL213" i="1"/>
  <c r="GN213" i="1"/>
  <c r="GO213" i="1"/>
  <c r="GV213" i="1"/>
  <c r="HC213" i="1"/>
  <c r="GX213" i="1" s="1"/>
  <c r="B215" i="1"/>
  <c r="B201" i="1" s="1"/>
  <c r="C215" i="1"/>
  <c r="D215" i="1"/>
  <c r="F215" i="1"/>
  <c r="F201" i="1" s="1"/>
  <c r="G215" i="1"/>
  <c r="G201" i="1" s="1"/>
  <c r="AO215" i="1"/>
  <c r="AO201" i="1" s="1"/>
  <c r="BC215" i="1"/>
  <c r="BX215" i="1"/>
  <c r="BX201" i="1" s="1"/>
  <c r="CL215" i="1"/>
  <c r="CL201" i="1" s="1"/>
  <c r="F219" i="1"/>
  <c r="F231" i="1"/>
  <c r="D244" i="1"/>
  <c r="E246" i="1"/>
  <c r="Z246" i="1"/>
  <c r="AA246" i="1"/>
  <c r="AM246" i="1"/>
  <c r="AN246" i="1"/>
  <c r="BD246" i="1"/>
  <c r="BE246" i="1"/>
  <c r="BF246" i="1"/>
  <c r="BG246" i="1"/>
  <c r="BH246" i="1"/>
  <c r="BI246" i="1"/>
  <c r="BJ246" i="1"/>
  <c r="BK246" i="1"/>
  <c r="BL246" i="1"/>
  <c r="BM246" i="1"/>
  <c r="BN246" i="1"/>
  <c r="BO246" i="1"/>
  <c r="BP246" i="1"/>
  <c r="BQ246" i="1"/>
  <c r="BR246" i="1"/>
  <c r="BS246" i="1"/>
  <c r="BT246" i="1"/>
  <c r="BU246" i="1"/>
  <c r="BV246" i="1"/>
  <c r="BW246" i="1"/>
  <c r="CM246" i="1"/>
  <c r="CN246" i="1"/>
  <c r="CO246" i="1"/>
  <c r="CP246" i="1"/>
  <c r="CQ246" i="1"/>
  <c r="CR246" i="1"/>
  <c r="CS246" i="1"/>
  <c r="CT246" i="1"/>
  <c r="CU246" i="1"/>
  <c r="CV246" i="1"/>
  <c r="CW246" i="1"/>
  <c r="CX246" i="1"/>
  <c r="CY246" i="1"/>
  <c r="CZ246" i="1"/>
  <c r="DA246" i="1"/>
  <c r="DB246" i="1"/>
  <c r="DC246" i="1"/>
  <c r="DD246" i="1"/>
  <c r="DE246" i="1"/>
  <c r="DF246" i="1"/>
  <c r="DG246" i="1"/>
  <c r="DH246" i="1"/>
  <c r="DI246" i="1"/>
  <c r="DJ246" i="1"/>
  <c r="DK246" i="1"/>
  <c r="DL246" i="1"/>
  <c r="DM246" i="1"/>
  <c r="DN246" i="1"/>
  <c r="DO246" i="1"/>
  <c r="DP246" i="1"/>
  <c r="DQ246" i="1"/>
  <c r="DR246" i="1"/>
  <c r="DS246" i="1"/>
  <c r="DT246" i="1"/>
  <c r="DU246" i="1"/>
  <c r="DV246" i="1"/>
  <c r="DW246" i="1"/>
  <c r="DX246" i="1"/>
  <c r="DY246" i="1"/>
  <c r="DZ246" i="1"/>
  <c r="EA246" i="1"/>
  <c r="EB246" i="1"/>
  <c r="EC246" i="1"/>
  <c r="ED246" i="1"/>
  <c r="EE246" i="1"/>
  <c r="EF246" i="1"/>
  <c r="EG246" i="1"/>
  <c r="EH246" i="1"/>
  <c r="EI246" i="1"/>
  <c r="EJ246" i="1"/>
  <c r="EK246" i="1"/>
  <c r="EL246" i="1"/>
  <c r="EM246" i="1"/>
  <c r="EN246" i="1"/>
  <c r="EO246" i="1"/>
  <c r="EP246" i="1"/>
  <c r="EQ246" i="1"/>
  <c r="ER246" i="1"/>
  <c r="ES246" i="1"/>
  <c r="ET246" i="1"/>
  <c r="EU246" i="1"/>
  <c r="EV246" i="1"/>
  <c r="EW246" i="1"/>
  <c r="EX246" i="1"/>
  <c r="EY246" i="1"/>
  <c r="EZ246" i="1"/>
  <c r="FA246" i="1"/>
  <c r="FB246" i="1"/>
  <c r="FC246" i="1"/>
  <c r="FD246" i="1"/>
  <c r="FE246" i="1"/>
  <c r="FF246" i="1"/>
  <c r="FG246" i="1"/>
  <c r="FH246" i="1"/>
  <c r="FI246" i="1"/>
  <c r="FJ246" i="1"/>
  <c r="FK246" i="1"/>
  <c r="FL246" i="1"/>
  <c r="FM246" i="1"/>
  <c r="FN246" i="1"/>
  <c r="FO246" i="1"/>
  <c r="FP246" i="1"/>
  <c r="FQ246" i="1"/>
  <c r="FR246" i="1"/>
  <c r="FS246" i="1"/>
  <c r="FT246" i="1"/>
  <c r="FU246" i="1"/>
  <c r="FV246" i="1"/>
  <c r="FW246" i="1"/>
  <c r="FX246" i="1"/>
  <c r="FY246" i="1"/>
  <c r="FZ246" i="1"/>
  <c r="GA246" i="1"/>
  <c r="GB246" i="1"/>
  <c r="GC246" i="1"/>
  <c r="GD246" i="1"/>
  <c r="GE246" i="1"/>
  <c r="GF246" i="1"/>
  <c r="GG246" i="1"/>
  <c r="GH246" i="1"/>
  <c r="GI246" i="1"/>
  <c r="GJ246" i="1"/>
  <c r="GK246" i="1"/>
  <c r="GL246" i="1"/>
  <c r="GM246" i="1"/>
  <c r="GN246" i="1"/>
  <c r="GO246" i="1"/>
  <c r="GP246" i="1"/>
  <c r="GQ246" i="1"/>
  <c r="GR246" i="1"/>
  <c r="GS246" i="1"/>
  <c r="GT246" i="1"/>
  <c r="GU246" i="1"/>
  <c r="GV246" i="1"/>
  <c r="GW246" i="1"/>
  <c r="GX246" i="1"/>
  <c r="C248" i="1"/>
  <c r="D248" i="1"/>
  <c r="I248" i="1"/>
  <c r="Q248" i="1"/>
  <c r="S248" i="1"/>
  <c r="X248" i="1"/>
  <c r="Y248" i="1"/>
  <c r="AC248" i="1"/>
  <c r="AB248" i="1" s="1"/>
  <c r="AE248" i="1"/>
  <c r="AF248" i="1"/>
  <c r="AG248" i="1"/>
  <c r="AH248" i="1"/>
  <c r="AI248" i="1"/>
  <c r="CW248" i="1" s="1"/>
  <c r="V248" i="1" s="1"/>
  <c r="AJ248" i="1"/>
  <c r="CQ248" i="1"/>
  <c r="CR248" i="1"/>
  <c r="CS248" i="1"/>
  <c r="CU248" i="1"/>
  <c r="CV248" i="1"/>
  <c r="U248" i="1" s="1"/>
  <c r="CX248" i="1"/>
  <c r="CY248" i="1"/>
  <c r="CZ248" i="1"/>
  <c r="FR248" i="1"/>
  <c r="GL248" i="1"/>
  <c r="GO248" i="1"/>
  <c r="GP248" i="1"/>
  <c r="GV248" i="1"/>
  <c r="HC248" i="1"/>
  <c r="GX248" i="1" s="1"/>
  <c r="AC249" i="1"/>
  <c r="AE249" i="1"/>
  <c r="AF249" i="1"/>
  <c r="CT249" i="1" s="1"/>
  <c r="AG249" i="1"/>
  <c r="AH249" i="1"/>
  <c r="AI249" i="1"/>
  <c r="AJ249" i="1"/>
  <c r="CX249" i="1" s="1"/>
  <c r="CU249" i="1"/>
  <c r="CV249" i="1"/>
  <c r="CW249" i="1"/>
  <c r="FR249" i="1"/>
  <c r="GL249" i="1"/>
  <c r="GO249" i="1"/>
  <c r="GP249" i="1"/>
  <c r="GV249" i="1"/>
  <c r="HC249" i="1" s="1"/>
  <c r="AC250" i="1"/>
  <c r="AD250" i="1"/>
  <c r="AE250" i="1"/>
  <c r="AF250" i="1"/>
  <c r="AG250" i="1"/>
  <c r="AH250" i="1"/>
  <c r="CV250" i="1" s="1"/>
  <c r="AI250" i="1"/>
  <c r="CW250" i="1" s="1"/>
  <c r="AJ250" i="1"/>
  <c r="CR250" i="1"/>
  <c r="CS250" i="1"/>
  <c r="CT250" i="1"/>
  <c r="CU250" i="1"/>
  <c r="CX250" i="1"/>
  <c r="FR250" i="1"/>
  <c r="GL250" i="1"/>
  <c r="GO250" i="1"/>
  <c r="GP250" i="1"/>
  <c r="GV250" i="1"/>
  <c r="HC250" i="1"/>
  <c r="C251" i="1"/>
  <c r="D251" i="1"/>
  <c r="P251" i="1"/>
  <c r="CP251" i="1" s="1"/>
  <c r="O251" i="1" s="1"/>
  <c r="Q251" i="1"/>
  <c r="S251" i="1"/>
  <c r="U251" i="1"/>
  <c r="X251" i="1"/>
  <c r="Y251" i="1"/>
  <c r="AC251" i="1"/>
  <c r="AB251" i="1" s="1"/>
  <c r="AE251" i="1"/>
  <c r="AF251" i="1"/>
  <c r="AG251" i="1"/>
  <c r="AH251" i="1"/>
  <c r="CV251" i="1" s="1"/>
  <c r="AI251" i="1"/>
  <c r="CW251" i="1" s="1"/>
  <c r="V251" i="1" s="1"/>
  <c r="AJ251" i="1"/>
  <c r="CQ251" i="1"/>
  <c r="CS251" i="1"/>
  <c r="CU251" i="1"/>
  <c r="T251" i="1" s="1"/>
  <c r="CX251" i="1"/>
  <c r="W251" i="1" s="1"/>
  <c r="CY251" i="1"/>
  <c r="CZ251" i="1"/>
  <c r="FR251" i="1"/>
  <c r="GL251" i="1"/>
  <c r="GO251" i="1"/>
  <c r="GP251" i="1"/>
  <c r="GV251" i="1"/>
  <c r="GX251" i="1"/>
  <c r="GY251" i="1"/>
  <c r="HC251" i="1"/>
  <c r="I252" i="1"/>
  <c r="Q252" i="1" s="1"/>
  <c r="S252" i="1"/>
  <c r="CY252" i="1" s="1"/>
  <c r="X252" i="1" s="1"/>
  <c r="U252" i="1"/>
  <c r="V252" i="1"/>
  <c r="AC252" i="1"/>
  <c r="AE252" i="1"/>
  <c r="AD252" i="1" s="1"/>
  <c r="AF252" i="1"/>
  <c r="CT252" i="1" s="1"/>
  <c r="AG252" i="1"/>
  <c r="AH252" i="1"/>
  <c r="AI252" i="1"/>
  <c r="AJ252" i="1"/>
  <c r="CR252" i="1"/>
  <c r="CS252" i="1"/>
  <c r="CU252" i="1"/>
  <c r="T252" i="1" s="1"/>
  <c r="CV252" i="1"/>
  <c r="CW252" i="1"/>
  <c r="CX252" i="1"/>
  <c r="W252" i="1" s="1"/>
  <c r="CZ252" i="1"/>
  <c r="Y252" i="1" s="1"/>
  <c r="GL252" i="1"/>
  <c r="GN252" i="1"/>
  <c r="GO252" i="1"/>
  <c r="GP252" i="1"/>
  <c r="GV252" i="1"/>
  <c r="HC252" i="1" s="1"/>
  <c r="GX252" i="1" s="1"/>
  <c r="C253" i="1"/>
  <c r="D253" i="1"/>
  <c r="Q253" i="1"/>
  <c r="S253" i="1"/>
  <c r="AB253" i="1"/>
  <c r="AC253" i="1"/>
  <c r="AE253" i="1"/>
  <c r="AD253" i="1" s="1"/>
  <c r="AF253" i="1"/>
  <c r="CT253" i="1" s="1"/>
  <c r="AG253" i="1"/>
  <c r="CU253" i="1" s="1"/>
  <c r="AH253" i="1"/>
  <c r="AI253" i="1"/>
  <c r="CW253" i="1" s="1"/>
  <c r="AJ253" i="1"/>
  <c r="CX253" i="1" s="1"/>
  <c r="CQ253" i="1"/>
  <c r="CS253" i="1"/>
  <c r="CV253" i="1"/>
  <c r="CY253" i="1"/>
  <c r="X253" i="1" s="1"/>
  <c r="CZ253" i="1"/>
  <c r="Y253" i="1" s="1"/>
  <c r="FR253" i="1"/>
  <c r="GL253" i="1"/>
  <c r="GO253" i="1"/>
  <c r="GP253" i="1"/>
  <c r="GV253" i="1"/>
  <c r="HC253" i="1" s="1"/>
  <c r="AC254" i="1"/>
  <c r="CQ254" i="1" s="1"/>
  <c r="AE254" i="1"/>
  <c r="AF254" i="1"/>
  <c r="AG254" i="1"/>
  <c r="CU254" i="1" s="1"/>
  <c r="AH254" i="1"/>
  <c r="AI254" i="1"/>
  <c r="AJ254" i="1"/>
  <c r="CT254" i="1"/>
  <c r="CV254" i="1"/>
  <c r="CW254" i="1"/>
  <c r="CX254" i="1"/>
  <c r="FR254" i="1"/>
  <c r="GL254" i="1"/>
  <c r="GO254" i="1"/>
  <c r="GP254" i="1"/>
  <c r="GV254" i="1"/>
  <c r="HC254" i="1" s="1"/>
  <c r="C255" i="1"/>
  <c r="D255" i="1"/>
  <c r="AC255" i="1"/>
  <c r="AE255" i="1"/>
  <c r="AD255" i="1" s="1"/>
  <c r="AF255" i="1"/>
  <c r="AG255" i="1"/>
  <c r="AH255" i="1"/>
  <c r="AI255" i="1"/>
  <c r="CW255" i="1" s="1"/>
  <c r="AJ255" i="1"/>
  <c r="CR255" i="1"/>
  <c r="CS255" i="1"/>
  <c r="CT255" i="1"/>
  <c r="CU255" i="1"/>
  <c r="CV255" i="1"/>
  <c r="CX255" i="1"/>
  <c r="FR255" i="1"/>
  <c r="GL255" i="1"/>
  <c r="GO255" i="1"/>
  <c r="GP255" i="1"/>
  <c r="GV255" i="1"/>
  <c r="HC255" i="1" s="1"/>
  <c r="AC256" i="1"/>
  <c r="AD256" i="1"/>
  <c r="AE256" i="1"/>
  <c r="AF256" i="1"/>
  <c r="AG256" i="1"/>
  <c r="AH256" i="1"/>
  <c r="CV256" i="1" s="1"/>
  <c r="AI256" i="1"/>
  <c r="CW256" i="1" s="1"/>
  <c r="AJ256" i="1"/>
  <c r="CR256" i="1"/>
  <c r="CS256" i="1"/>
  <c r="CU256" i="1"/>
  <c r="CX256" i="1"/>
  <c r="FR256" i="1"/>
  <c r="GL256" i="1"/>
  <c r="GO256" i="1"/>
  <c r="GP256" i="1"/>
  <c r="GV256" i="1"/>
  <c r="HC256" i="1" s="1"/>
  <c r="C257" i="1"/>
  <c r="D257" i="1"/>
  <c r="AC257" i="1"/>
  <c r="AE257" i="1"/>
  <c r="CS257" i="1" s="1"/>
  <c r="AF257" i="1"/>
  <c r="AG257" i="1"/>
  <c r="AH257" i="1"/>
  <c r="AI257" i="1"/>
  <c r="AJ257" i="1"/>
  <c r="CR257" i="1"/>
  <c r="CT257" i="1"/>
  <c r="CU257" i="1"/>
  <c r="CV257" i="1"/>
  <c r="CW257" i="1"/>
  <c r="CX257" i="1"/>
  <c r="FR257" i="1"/>
  <c r="GL257" i="1"/>
  <c r="GO257" i="1"/>
  <c r="GP257" i="1"/>
  <c r="GV257" i="1"/>
  <c r="HC257" i="1"/>
  <c r="C258" i="1"/>
  <c r="D258" i="1"/>
  <c r="AC258" i="1"/>
  <c r="AE258" i="1"/>
  <c r="AF258" i="1"/>
  <c r="AG258" i="1"/>
  <c r="AH258" i="1"/>
  <c r="CV258" i="1" s="1"/>
  <c r="AI258" i="1"/>
  <c r="CW258" i="1" s="1"/>
  <c r="AJ258" i="1"/>
  <c r="CR258" i="1"/>
  <c r="CS258" i="1"/>
  <c r="CU258" i="1"/>
  <c r="CX258" i="1"/>
  <c r="FR258" i="1"/>
  <c r="GL258" i="1"/>
  <c r="BZ264" i="1" s="1"/>
  <c r="GN258" i="1"/>
  <c r="GO258" i="1"/>
  <c r="GV258" i="1"/>
  <c r="HC258" i="1"/>
  <c r="C259" i="1"/>
  <c r="D259" i="1"/>
  <c r="AC259" i="1"/>
  <c r="AE259" i="1"/>
  <c r="AD259" i="1" s="1"/>
  <c r="AF259" i="1"/>
  <c r="AG259" i="1"/>
  <c r="AH259" i="1"/>
  <c r="AI259" i="1"/>
  <c r="AJ259" i="1"/>
  <c r="CR259" i="1"/>
  <c r="CS259" i="1"/>
  <c r="CU259" i="1"/>
  <c r="CV259" i="1"/>
  <c r="CW259" i="1"/>
  <c r="CX259" i="1"/>
  <c r="FR259" i="1"/>
  <c r="GL259" i="1"/>
  <c r="GN259" i="1"/>
  <c r="GO259" i="1"/>
  <c r="GV259" i="1"/>
  <c r="HC259" i="1"/>
  <c r="C260" i="1"/>
  <c r="D260" i="1"/>
  <c r="AC260" i="1"/>
  <c r="CQ260" i="1" s="1"/>
  <c r="AE260" i="1"/>
  <c r="AF260" i="1"/>
  <c r="AG260" i="1"/>
  <c r="AH260" i="1"/>
  <c r="AI260" i="1"/>
  <c r="AJ260" i="1"/>
  <c r="CU260" i="1"/>
  <c r="CV260" i="1"/>
  <c r="CW260" i="1"/>
  <c r="CX260" i="1"/>
  <c r="FR260" i="1"/>
  <c r="GL260" i="1"/>
  <c r="GO260" i="1"/>
  <c r="GP260" i="1"/>
  <c r="GV260" i="1"/>
  <c r="HC260" i="1"/>
  <c r="C261" i="1"/>
  <c r="D261" i="1"/>
  <c r="AC261" i="1"/>
  <c r="CQ261" i="1" s="1"/>
  <c r="AE261" i="1"/>
  <c r="AD261" i="1" s="1"/>
  <c r="AF261" i="1"/>
  <c r="CT261" i="1" s="1"/>
  <c r="AG261" i="1"/>
  <c r="CU261" i="1" s="1"/>
  <c r="AH261" i="1"/>
  <c r="AI261" i="1"/>
  <c r="AJ261" i="1"/>
  <c r="CR261" i="1"/>
  <c r="CV261" i="1"/>
  <c r="CW261" i="1"/>
  <c r="CX261" i="1"/>
  <c r="FR261" i="1"/>
  <c r="GL261" i="1"/>
  <c r="GN261" i="1"/>
  <c r="GO261" i="1"/>
  <c r="GV261" i="1"/>
  <c r="HC261" i="1"/>
  <c r="C262" i="1"/>
  <c r="D262" i="1"/>
  <c r="AC262" i="1"/>
  <c r="AD262" i="1"/>
  <c r="AE262" i="1"/>
  <c r="AF262" i="1"/>
  <c r="CT262" i="1" s="1"/>
  <c r="AG262" i="1"/>
  <c r="AH262" i="1"/>
  <c r="CV262" i="1" s="1"/>
  <c r="AI262" i="1"/>
  <c r="AJ262" i="1"/>
  <c r="CR262" i="1"/>
  <c r="CS262" i="1"/>
  <c r="CU262" i="1"/>
  <c r="CW262" i="1"/>
  <c r="CX262" i="1"/>
  <c r="FR262" i="1"/>
  <c r="GL262" i="1"/>
  <c r="GN262" i="1"/>
  <c r="GO262" i="1"/>
  <c r="GV262" i="1"/>
  <c r="HC262" i="1" s="1"/>
  <c r="B264" i="1"/>
  <c r="B246" i="1" s="1"/>
  <c r="C264" i="1"/>
  <c r="C246" i="1" s="1"/>
  <c r="D264" i="1"/>
  <c r="D246" i="1" s="1"/>
  <c r="F264" i="1"/>
  <c r="F246" i="1" s="1"/>
  <c r="G264" i="1"/>
  <c r="G246" i="1" s="1"/>
  <c r="BX264" i="1"/>
  <c r="BX246" i="1" s="1"/>
  <c r="D293" i="1"/>
  <c r="B295" i="1"/>
  <c r="E295" i="1"/>
  <c r="Z295" i="1"/>
  <c r="AA295" i="1"/>
  <c r="AM295" i="1"/>
  <c r="AN295" i="1"/>
  <c r="BC295" i="1"/>
  <c r="BD295" i="1"/>
  <c r="BE295" i="1"/>
  <c r="BF295" i="1"/>
  <c r="BG295" i="1"/>
  <c r="BH295" i="1"/>
  <c r="BI295" i="1"/>
  <c r="BJ295" i="1"/>
  <c r="BK295" i="1"/>
  <c r="BL295" i="1"/>
  <c r="BM295" i="1"/>
  <c r="BN295" i="1"/>
  <c r="BO295" i="1"/>
  <c r="BP295" i="1"/>
  <c r="BQ295" i="1"/>
  <c r="BR295" i="1"/>
  <c r="BS295" i="1"/>
  <c r="BT295" i="1"/>
  <c r="BU295" i="1"/>
  <c r="BV295" i="1"/>
  <c r="BW295" i="1"/>
  <c r="BZ295" i="1"/>
  <c r="CM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EG295" i="1"/>
  <c r="EH295" i="1"/>
  <c r="EI295" i="1"/>
  <c r="EJ295" i="1"/>
  <c r="EK295" i="1"/>
  <c r="EL295" i="1"/>
  <c r="EM295" i="1"/>
  <c r="EN295" i="1"/>
  <c r="EO295" i="1"/>
  <c r="EP295" i="1"/>
  <c r="EQ295" i="1"/>
  <c r="ER295" i="1"/>
  <c r="ES295" i="1"/>
  <c r="ET295" i="1"/>
  <c r="EU295" i="1"/>
  <c r="EV295" i="1"/>
  <c r="EW295" i="1"/>
  <c r="EX295" i="1"/>
  <c r="EY295" i="1"/>
  <c r="EZ295" i="1"/>
  <c r="FA295" i="1"/>
  <c r="FB295" i="1"/>
  <c r="FC295" i="1"/>
  <c r="FD295" i="1"/>
  <c r="FE295" i="1"/>
  <c r="FF295" i="1"/>
  <c r="FG295" i="1"/>
  <c r="FH295" i="1"/>
  <c r="FI295" i="1"/>
  <c r="FJ295" i="1"/>
  <c r="FK295" i="1"/>
  <c r="FL295" i="1"/>
  <c r="FM295" i="1"/>
  <c r="FN295" i="1"/>
  <c r="FO295" i="1"/>
  <c r="FP295" i="1"/>
  <c r="FQ295" i="1"/>
  <c r="FR295" i="1"/>
  <c r="FS295" i="1"/>
  <c r="FT295" i="1"/>
  <c r="FU295" i="1"/>
  <c r="FV295" i="1"/>
  <c r="FW295" i="1"/>
  <c r="FX295" i="1"/>
  <c r="FY295" i="1"/>
  <c r="FZ295" i="1"/>
  <c r="GA295" i="1"/>
  <c r="GB295" i="1"/>
  <c r="GC295" i="1"/>
  <c r="GD295" i="1"/>
  <c r="GE295" i="1"/>
  <c r="GF295" i="1"/>
  <c r="GG295" i="1"/>
  <c r="GH295" i="1"/>
  <c r="GI295" i="1"/>
  <c r="GJ295" i="1"/>
  <c r="GK295" i="1"/>
  <c r="GL295" i="1"/>
  <c r="GM295" i="1"/>
  <c r="GN295" i="1"/>
  <c r="GO295" i="1"/>
  <c r="GP295" i="1"/>
  <c r="GQ295" i="1"/>
  <c r="GR295" i="1"/>
  <c r="GS295" i="1"/>
  <c r="GT295" i="1"/>
  <c r="GU295" i="1"/>
  <c r="GV295" i="1"/>
  <c r="GW295" i="1"/>
  <c r="GX295" i="1"/>
  <c r="AB297" i="1"/>
  <c r="AC297" i="1"/>
  <c r="AD297" i="1"/>
  <c r="AE297" i="1"/>
  <c r="AF297" i="1"/>
  <c r="AG297" i="1"/>
  <c r="AH297" i="1"/>
  <c r="AI297" i="1"/>
  <c r="AJ297" i="1"/>
  <c r="CP297" i="1"/>
  <c r="CQ297" i="1"/>
  <c r="CR297" i="1"/>
  <c r="CS297" i="1"/>
  <c r="CT297" i="1"/>
  <c r="CU297" i="1"/>
  <c r="CV297" i="1"/>
  <c r="CW297" i="1"/>
  <c r="CX297" i="1"/>
  <c r="FR297" i="1"/>
  <c r="BY300" i="1" s="1"/>
  <c r="GL297" i="1"/>
  <c r="GO297" i="1"/>
  <c r="GP297" i="1"/>
  <c r="GV297" i="1"/>
  <c r="HC297" i="1"/>
  <c r="AC298" i="1"/>
  <c r="AB298" i="1" s="1"/>
  <c r="AD298" i="1"/>
  <c r="AE298" i="1"/>
  <c r="AF298" i="1"/>
  <c r="CT298" i="1" s="1"/>
  <c r="AG298" i="1"/>
  <c r="AH298" i="1"/>
  <c r="CV298" i="1" s="1"/>
  <c r="AI298" i="1"/>
  <c r="AJ298" i="1"/>
  <c r="CX298" i="1" s="1"/>
  <c r="CQ298" i="1"/>
  <c r="CR298" i="1"/>
  <c r="CS298" i="1"/>
  <c r="CU298" i="1"/>
  <c r="CW298" i="1"/>
  <c r="FR298" i="1"/>
  <c r="GL298" i="1"/>
  <c r="GN298" i="1"/>
  <c r="GO298" i="1"/>
  <c r="GV298" i="1"/>
  <c r="HC298" i="1"/>
  <c r="B300" i="1"/>
  <c r="C300" i="1"/>
  <c r="C295" i="1" s="1"/>
  <c r="D300" i="1"/>
  <c r="D295" i="1" s="1"/>
  <c r="F300" i="1"/>
  <c r="F295" i="1" s="1"/>
  <c r="G300" i="1"/>
  <c r="G295" i="1" s="1"/>
  <c r="AO300" i="1"/>
  <c r="F304" i="1" s="1"/>
  <c r="BC300" i="1"/>
  <c r="BX300" i="1"/>
  <c r="BX295" i="1" s="1"/>
  <c r="BZ300" i="1"/>
  <c r="CG300" i="1" s="1"/>
  <c r="CC300" i="1"/>
  <c r="AT300" i="1" s="1"/>
  <c r="F318" i="1" s="1"/>
  <c r="CK300" i="1"/>
  <c r="BB300" i="1" s="1"/>
  <c r="BB295" i="1" s="1"/>
  <c r="CL300" i="1"/>
  <c r="CL295" i="1" s="1"/>
  <c r="F316" i="1"/>
  <c r="B329" i="1"/>
  <c r="B22" i="1" s="1"/>
  <c r="C329" i="1"/>
  <c r="C22" i="1" s="1"/>
  <c r="D329" i="1"/>
  <c r="D22" i="1" s="1"/>
  <c r="F329" i="1"/>
  <c r="F22" i="1" s="1"/>
  <c r="G329" i="1"/>
  <c r="G22" i="1" s="1"/>
  <c r="B358" i="1"/>
  <c r="B18" i="1" s="1"/>
  <c r="C358" i="1"/>
  <c r="C18" i="1" s="1"/>
  <c r="D358" i="1"/>
  <c r="D18" i="1" s="1"/>
  <c r="F358" i="1"/>
  <c r="F18" i="1" s="1"/>
  <c r="G358" i="1"/>
  <c r="G18" i="1" s="1"/>
  <c r="H350" i="5" l="1"/>
  <c r="I18" i="5"/>
  <c r="J351" i="5"/>
  <c r="J21" i="5"/>
  <c r="J367" i="5"/>
  <c r="J363" i="5"/>
  <c r="H182" i="5"/>
  <c r="J182" i="5"/>
  <c r="CK215" i="1"/>
  <c r="K228" i="5"/>
  <c r="CC215" i="1"/>
  <c r="CC39" i="1"/>
  <c r="CC26" i="1" s="1"/>
  <c r="H276" i="5"/>
  <c r="H366" i="5"/>
  <c r="H72" i="5"/>
  <c r="AD204" i="1"/>
  <c r="AB204" i="1" s="1"/>
  <c r="U231" i="5"/>
  <c r="I240" i="5" s="1"/>
  <c r="I235" i="5"/>
  <c r="W235" i="5" s="1"/>
  <c r="I19" i="5" s="1"/>
  <c r="I234" i="5"/>
  <c r="V231" i="5"/>
  <c r="K240" i="5" s="1"/>
  <c r="CS204" i="1"/>
  <c r="CC130" i="1"/>
  <c r="CC116" i="1" s="1"/>
  <c r="R204" i="1"/>
  <c r="Q204" i="1"/>
  <c r="K234" i="5" s="1"/>
  <c r="CC264" i="1"/>
  <c r="AT264" i="1" s="1"/>
  <c r="BZ246" i="1"/>
  <c r="AQ264" i="1"/>
  <c r="V255" i="1"/>
  <c r="CG295" i="1"/>
  <c r="AX300" i="1"/>
  <c r="BY295" i="1"/>
  <c r="AP300" i="1"/>
  <c r="CI300" i="1"/>
  <c r="AT295" i="1"/>
  <c r="CT260" i="1"/>
  <c r="AD260" i="1"/>
  <c r="AB260" i="1" s="1"/>
  <c r="CR260" i="1"/>
  <c r="AB250" i="1"/>
  <c r="CQ250" i="1"/>
  <c r="R213" i="1"/>
  <c r="AD213" i="1"/>
  <c r="AB213" i="1" s="1"/>
  <c r="CR213" i="1"/>
  <c r="CS213" i="1"/>
  <c r="GN166" i="1"/>
  <c r="GM166" i="1"/>
  <c r="GZ253" i="1"/>
  <c r="AO295" i="1"/>
  <c r="AO264" i="1"/>
  <c r="CS261" i="1"/>
  <c r="CS260" i="1"/>
  <c r="AD249" i="1"/>
  <c r="CR249" i="1"/>
  <c r="AB262" i="1"/>
  <c r="CQ257" i="1"/>
  <c r="AB256" i="1"/>
  <c r="CQ256" i="1"/>
  <c r="U253" i="1"/>
  <c r="CT259" i="1"/>
  <c r="CT258" i="1"/>
  <c r="CS254" i="1"/>
  <c r="AD254" i="1"/>
  <c r="AB254" i="1" s="1"/>
  <c r="P252" i="1"/>
  <c r="CQ252" i="1"/>
  <c r="AB252" i="1"/>
  <c r="AT215" i="1"/>
  <c r="CC201" i="1"/>
  <c r="BZ161" i="1"/>
  <c r="AQ170" i="1"/>
  <c r="CG170" i="1"/>
  <c r="W255" i="1"/>
  <c r="AQ300" i="1"/>
  <c r="CC295" i="1"/>
  <c r="AD258" i="1"/>
  <c r="AB258" i="1" s="1"/>
  <c r="CT256" i="1"/>
  <c r="U250" i="1"/>
  <c r="CS249" i="1"/>
  <c r="AB261" i="1"/>
  <c r="AB259" i="1"/>
  <c r="CQ259" i="1"/>
  <c r="CQ258" i="1"/>
  <c r="CQ255" i="1"/>
  <c r="AB255" i="1"/>
  <c r="CR254" i="1"/>
  <c r="V253" i="1"/>
  <c r="BB215" i="1"/>
  <c r="CK201" i="1"/>
  <c r="F313" i="1"/>
  <c r="CK295" i="1"/>
  <c r="CG264" i="1"/>
  <c r="CQ262" i="1"/>
  <c r="CX89" i="3"/>
  <c r="CX87" i="3"/>
  <c r="CX88" i="3"/>
  <c r="I250" i="1"/>
  <c r="I253" i="1"/>
  <c r="GY248" i="1"/>
  <c r="I255" i="1"/>
  <c r="GX255" i="1" s="1"/>
  <c r="P248" i="1"/>
  <c r="I249" i="1"/>
  <c r="R249" i="1" s="1"/>
  <c r="GK249" i="1" s="1"/>
  <c r="GX250" i="1"/>
  <c r="T248" i="1"/>
  <c r="CT248" i="1"/>
  <c r="GZ248" i="1"/>
  <c r="CP213" i="1"/>
  <c r="O213" i="1" s="1"/>
  <c r="CY208" i="1"/>
  <c r="X208" i="1" s="1"/>
  <c r="GM208" i="1" s="1"/>
  <c r="CZ208" i="1"/>
  <c r="Y208" i="1" s="1"/>
  <c r="CY207" i="1"/>
  <c r="X207" i="1" s="1"/>
  <c r="CZ207" i="1"/>
  <c r="Y207" i="1" s="1"/>
  <c r="AD257" i="1"/>
  <c r="AB257" i="1" s="1"/>
  <c r="T253" i="1"/>
  <c r="V250" i="1"/>
  <c r="R248" i="1"/>
  <c r="AD248" i="1"/>
  <c r="AX85" i="1"/>
  <c r="CG70" i="1"/>
  <c r="P210" i="1"/>
  <c r="Q210" i="1"/>
  <c r="V210" i="1"/>
  <c r="T206" i="1"/>
  <c r="CT206" i="1"/>
  <c r="CS205" i="1"/>
  <c r="P203" i="1"/>
  <c r="AB203" i="1"/>
  <c r="R253" i="1"/>
  <c r="CQ249" i="1"/>
  <c r="CX86" i="3"/>
  <c r="Q213" i="1"/>
  <c r="CR205" i="1"/>
  <c r="AD205" i="1"/>
  <c r="AB205" i="1" s="1"/>
  <c r="T255" i="1"/>
  <c r="CR253" i="1"/>
  <c r="R252" i="1"/>
  <c r="GK252" i="1" s="1"/>
  <c r="CT251" i="1"/>
  <c r="GZ251" i="1"/>
  <c r="GN251" i="1" s="1"/>
  <c r="AB249" i="1"/>
  <c r="W213" i="1"/>
  <c r="CX83" i="3"/>
  <c r="CX82" i="3"/>
  <c r="CX81" i="3"/>
  <c r="CX79" i="3"/>
  <c r="CX78" i="3"/>
  <c r="CX77" i="3"/>
  <c r="CX80" i="3"/>
  <c r="Q209" i="1"/>
  <c r="CP209" i="1" s="1"/>
  <c r="O209" i="1" s="1"/>
  <c r="R209" i="1"/>
  <c r="GK209" i="1" s="1"/>
  <c r="S209" i="1"/>
  <c r="GX209" i="1"/>
  <c r="R251" i="1"/>
  <c r="AD251" i="1"/>
  <c r="R210" i="1"/>
  <c r="GK210" i="1" s="1"/>
  <c r="BZ215" i="1"/>
  <c r="CR251" i="1"/>
  <c r="W248" i="1"/>
  <c r="CT213" i="1"/>
  <c r="S213" i="1"/>
  <c r="CX76" i="3"/>
  <c r="CX75" i="3"/>
  <c r="P207" i="1"/>
  <c r="CP207" i="1" s="1"/>
  <c r="O207" i="1" s="1"/>
  <c r="Q207" i="1"/>
  <c r="R207" i="1"/>
  <c r="GK207" i="1" s="1"/>
  <c r="U207" i="1"/>
  <c r="BY215" i="1"/>
  <c r="CQ213" i="1"/>
  <c r="CS211" i="1"/>
  <c r="S210" i="1"/>
  <c r="CT208" i="1"/>
  <c r="AP170" i="1"/>
  <c r="BY161" i="1"/>
  <c r="CI170" i="1"/>
  <c r="CQ166" i="1"/>
  <c r="CY128" i="1"/>
  <c r="X128" i="1" s="1"/>
  <c r="CZ128" i="1"/>
  <c r="Y128" i="1" s="1"/>
  <c r="V124" i="1"/>
  <c r="CS124" i="1"/>
  <c r="AD124" i="1"/>
  <c r="AB124" i="1" s="1"/>
  <c r="CR124" i="1"/>
  <c r="CR212" i="1"/>
  <c r="AD212" i="1"/>
  <c r="AB212" i="1" s="1"/>
  <c r="AD211" i="1"/>
  <c r="CR210" i="1"/>
  <c r="AD210" i="1"/>
  <c r="AB210" i="1" s="1"/>
  <c r="CX60" i="3"/>
  <c r="CX68" i="3"/>
  <c r="CX59" i="3"/>
  <c r="CX67" i="3"/>
  <c r="CX58" i="3"/>
  <c r="CX66" i="3"/>
  <c r="CX74" i="3"/>
  <c r="CX65" i="3"/>
  <c r="CX73" i="3"/>
  <c r="CX63" i="3"/>
  <c r="CX71" i="3"/>
  <c r="CX62" i="3"/>
  <c r="CX70" i="3"/>
  <c r="CX61" i="3"/>
  <c r="CX69" i="3"/>
  <c r="CX72" i="3"/>
  <c r="CX64" i="3"/>
  <c r="CS167" i="1"/>
  <c r="AD167" i="1"/>
  <c r="AB167" i="1" s="1"/>
  <c r="R128" i="1"/>
  <c r="AD128" i="1"/>
  <c r="CS128" i="1"/>
  <c r="CR128" i="1"/>
  <c r="AT85" i="1"/>
  <c r="CC70" i="1"/>
  <c r="AD208" i="1"/>
  <c r="AB206" i="1"/>
  <c r="I205" i="1"/>
  <c r="S204" i="1"/>
  <c r="V204" i="1"/>
  <c r="CR167" i="1"/>
  <c r="CZ163" i="1"/>
  <c r="Y163" i="1" s="1"/>
  <c r="AB128" i="1"/>
  <c r="AB211" i="1"/>
  <c r="AB209" i="1"/>
  <c r="F174" i="1"/>
  <c r="BC170" i="1"/>
  <c r="CQ127" i="1"/>
  <c r="P127" i="1"/>
  <c r="CP127" i="1" s="1"/>
  <c r="O127" i="1" s="1"/>
  <c r="AB208" i="1"/>
  <c r="I206" i="1"/>
  <c r="CR204" i="1"/>
  <c r="CC170" i="1"/>
  <c r="AB127" i="1"/>
  <c r="AT130" i="1"/>
  <c r="BZ116" i="1"/>
  <c r="AQ130" i="1"/>
  <c r="AB35" i="1"/>
  <c r="CQ35" i="1"/>
  <c r="CY127" i="1"/>
  <c r="X127" i="1" s="1"/>
  <c r="CZ127" i="1"/>
  <c r="Y127" i="1" s="1"/>
  <c r="CZ120" i="1"/>
  <c r="Y120" i="1" s="1"/>
  <c r="CY120" i="1"/>
  <c r="X120" i="1" s="1"/>
  <c r="BY130" i="1"/>
  <c r="CX52" i="3"/>
  <c r="CX54" i="3"/>
  <c r="CX53" i="3"/>
  <c r="I167" i="1"/>
  <c r="P167" i="1" s="1"/>
  <c r="AD164" i="1"/>
  <c r="CS164" i="1"/>
  <c r="GY164" i="1"/>
  <c r="CK170" i="1" s="1"/>
  <c r="P124" i="1"/>
  <c r="S123" i="1"/>
  <c r="CT123" i="1"/>
  <c r="BX70" i="1"/>
  <c r="AO85" i="1"/>
  <c r="CS165" i="1"/>
  <c r="Q165" i="1"/>
  <c r="CP164" i="1"/>
  <c r="O164" i="1" s="1"/>
  <c r="AD126" i="1"/>
  <c r="AB126" i="1" s="1"/>
  <c r="CT125" i="1"/>
  <c r="R123" i="1"/>
  <c r="GK123" i="1" s="1"/>
  <c r="I124" i="1"/>
  <c r="P122" i="1"/>
  <c r="AB122" i="1"/>
  <c r="CP121" i="1"/>
  <c r="O121" i="1" s="1"/>
  <c r="CP120" i="1"/>
  <c r="O120" i="1" s="1"/>
  <c r="CR164" i="1"/>
  <c r="CP128" i="1"/>
  <c r="O128" i="1" s="1"/>
  <c r="CQ126" i="1"/>
  <c r="AB123" i="1"/>
  <c r="GM118" i="1"/>
  <c r="CT118" i="1"/>
  <c r="GZ118" i="1"/>
  <c r="CL130" i="1" s="1"/>
  <c r="CR168" i="1"/>
  <c r="AD168" i="1"/>
  <c r="AB168" i="1" s="1"/>
  <c r="GM164" i="1"/>
  <c r="P163" i="1"/>
  <c r="AB163" i="1"/>
  <c r="AB125" i="1"/>
  <c r="CQ119" i="1"/>
  <c r="P119" i="1"/>
  <c r="F101" i="1"/>
  <c r="BC70" i="1"/>
  <c r="CP83" i="1"/>
  <c r="O83" i="1" s="1"/>
  <c r="CX31" i="3"/>
  <c r="CX30" i="3"/>
  <c r="CX29" i="3"/>
  <c r="Q79" i="1"/>
  <c r="I80" i="1"/>
  <c r="CY78" i="1"/>
  <c r="X78" i="1" s="1"/>
  <c r="CZ78" i="1"/>
  <c r="Y78" i="1" s="1"/>
  <c r="CS73" i="1"/>
  <c r="R73" i="1"/>
  <c r="GK73" i="1" s="1"/>
  <c r="AD73" i="1"/>
  <c r="AB73" i="1" s="1"/>
  <c r="CK70" i="1"/>
  <c r="BB85" i="1"/>
  <c r="GX37" i="1"/>
  <c r="CK130" i="1"/>
  <c r="CI85" i="1"/>
  <c r="V80" i="1"/>
  <c r="GM76" i="1"/>
  <c r="GN76" i="1"/>
  <c r="CR73" i="1"/>
  <c r="CP32" i="1"/>
  <c r="O32" i="1" s="1"/>
  <c r="CQ128" i="1"/>
  <c r="CX41" i="3"/>
  <c r="CX40" i="3"/>
  <c r="AB120" i="1"/>
  <c r="T79" i="1"/>
  <c r="W80" i="1"/>
  <c r="CT79" i="1"/>
  <c r="S79" i="1"/>
  <c r="CG130" i="1"/>
  <c r="AO130" i="1"/>
  <c r="GY122" i="1"/>
  <c r="CP118" i="1"/>
  <c r="O118" i="1" s="1"/>
  <c r="AQ85" i="1"/>
  <c r="U79" i="1"/>
  <c r="R79" i="1"/>
  <c r="GK79" i="1" s="1"/>
  <c r="CY77" i="1"/>
  <c r="X77" i="1" s="1"/>
  <c r="GN77" i="1" s="1"/>
  <c r="CZ77" i="1"/>
  <c r="Y77" i="1" s="1"/>
  <c r="GM75" i="1"/>
  <c r="CQ72" i="1"/>
  <c r="P72" i="1"/>
  <c r="AB72" i="1"/>
  <c r="AQ26" i="1"/>
  <c r="F49" i="1"/>
  <c r="Q128" i="1"/>
  <c r="CS121" i="1"/>
  <c r="GY121" i="1"/>
  <c r="GN121" i="1" s="1"/>
  <c r="R121" i="1"/>
  <c r="AD119" i="1"/>
  <c r="AB119" i="1" s="1"/>
  <c r="CS119" i="1"/>
  <c r="AP85" i="1"/>
  <c r="BY70" i="1"/>
  <c r="P79" i="1"/>
  <c r="P78" i="1"/>
  <c r="CP78" i="1" s="1"/>
  <c r="O78" i="1" s="1"/>
  <c r="CL26" i="1"/>
  <c r="BC39" i="1"/>
  <c r="AP39" i="1"/>
  <c r="CI39" i="1"/>
  <c r="BY26" i="1"/>
  <c r="P33" i="1"/>
  <c r="CS120" i="1"/>
  <c r="CT83" i="1"/>
  <c r="AB82" i="1"/>
  <c r="R82" i="1"/>
  <c r="P80" i="1"/>
  <c r="CQ79" i="1"/>
  <c r="AD79" i="1"/>
  <c r="AB79" i="1" s="1"/>
  <c r="CT34" i="1"/>
  <c r="GX33" i="1"/>
  <c r="CP30" i="1"/>
  <c r="O30" i="1" s="1"/>
  <c r="CY29" i="1"/>
  <c r="X29" i="1" s="1"/>
  <c r="CZ29" i="1"/>
  <c r="Y29" i="1" s="1"/>
  <c r="Q82" i="1"/>
  <c r="CP82" i="1" s="1"/>
  <c r="O82" i="1" s="1"/>
  <c r="CT78" i="1"/>
  <c r="CT77" i="1"/>
  <c r="CQ74" i="1"/>
  <c r="S74" i="1"/>
  <c r="W33" i="1"/>
  <c r="Q30" i="1"/>
  <c r="CS80" i="1"/>
  <c r="CS78" i="1"/>
  <c r="CS77" i="1"/>
  <c r="AX39" i="1"/>
  <c r="CG26" i="1"/>
  <c r="AD37" i="1"/>
  <c r="CS37" i="1"/>
  <c r="AB74" i="1"/>
  <c r="Q73" i="1"/>
  <c r="AB37" i="1"/>
  <c r="U33" i="1"/>
  <c r="S32" i="1"/>
  <c r="CT32" i="1"/>
  <c r="GM28" i="1"/>
  <c r="GN28" i="1"/>
  <c r="CP28" i="1"/>
  <c r="O28" i="1" s="1"/>
  <c r="AD78" i="1"/>
  <c r="AB78" i="1" s="1"/>
  <c r="CQ77" i="1"/>
  <c r="AD77" i="1"/>
  <c r="AB77" i="1" s="1"/>
  <c r="F43" i="1"/>
  <c r="AB32" i="1"/>
  <c r="R30" i="1"/>
  <c r="GK30" i="1" s="1"/>
  <c r="AD30" i="1"/>
  <c r="AB30" i="1" s="1"/>
  <c r="CS30" i="1"/>
  <c r="CX5" i="3"/>
  <c r="AB36" i="1"/>
  <c r="CQ33" i="1"/>
  <c r="AD33" i="1"/>
  <c r="AB33" i="1" s="1"/>
  <c r="CT30" i="1"/>
  <c r="CQ28" i="1"/>
  <c r="AD28" i="1"/>
  <c r="BZ26" i="1"/>
  <c r="I37" i="1"/>
  <c r="V37" i="1" s="1"/>
  <c r="Q36" i="1"/>
  <c r="CP36" i="1" s="1"/>
  <c r="O36" i="1" s="1"/>
  <c r="CQ30" i="1"/>
  <c r="CS29" i="1"/>
  <c r="CZ36" i="1"/>
  <c r="Y36" i="1" s="1"/>
  <c r="GY31" i="1"/>
  <c r="I33" i="1"/>
  <c r="GY28" i="1"/>
  <c r="AT39" i="1" l="1"/>
  <c r="GK204" i="1"/>
  <c r="K235" i="5"/>
  <c r="K226" i="5"/>
  <c r="J230" i="5"/>
  <c r="AD230" i="5"/>
  <c r="P230" i="5"/>
  <c r="P242" i="5"/>
  <c r="J242" i="5"/>
  <c r="O242" i="5"/>
  <c r="X242" i="5"/>
  <c r="I15" i="5" s="1"/>
  <c r="H242" i="5"/>
  <c r="CC246" i="1"/>
  <c r="GM82" i="1"/>
  <c r="GP82" i="1"/>
  <c r="GP36" i="1"/>
  <c r="GM36" i="1"/>
  <c r="Q205" i="1"/>
  <c r="P205" i="1"/>
  <c r="S205" i="1"/>
  <c r="GX205" i="1"/>
  <c r="I211" i="1"/>
  <c r="I298" i="1"/>
  <c r="CG215" i="1"/>
  <c r="BZ201" i="1"/>
  <c r="AQ215" i="1"/>
  <c r="CY79" i="1"/>
  <c r="X79" i="1" s="1"/>
  <c r="CZ79" i="1"/>
  <c r="Y79" i="1" s="1"/>
  <c r="Q206" i="1"/>
  <c r="R206" i="1"/>
  <c r="GK206" i="1" s="1"/>
  <c r="GX206" i="1"/>
  <c r="V206" i="1"/>
  <c r="U206" i="1"/>
  <c r="W206" i="1"/>
  <c r="GM203" i="1"/>
  <c r="GN203" i="1"/>
  <c r="CP203" i="1"/>
  <c r="O203" i="1" s="1"/>
  <c r="V249" i="1"/>
  <c r="GM31" i="1"/>
  <c r="GN31" i="1"/>
  <c r="W37" i="1"/>
  <c r="U37" i="1"/>
  <c r="CL116" i="1"/>
  <c r="BC130" i="1"/>
  <c r="CY123" i="1"/>
  <c r="X123" i="1" s="1"/>
  <c r="CZ123" i="1"/>
  <c r="Y123" i="1" s="1"/>
  <c r="GM121" i="1"/>
  <c r="CC161" i="1"/>
  <c r="AT170" i="1"/>
  <c r="BC161" i="1"/>
  <c r="F186" i="1"/>
  <c r="CY204" i="1"/>
  <c r="X204" i="1" s="1"/>
  <c r="CZ204" i="1"/>
  <c r="Y204" i="1" s="1"/>
  <c r="GX167" i="1"/>
  <c r="CY210" i="1"/>
  <c r="X210" i="1" s="1"/>
  <c r="CZ210" i="1"/>
  <c r="Y210" i="1" s="1"/>
  <c r="P206" i="1"/>
  <c r="CZ209" i="1"/>
  <c r="Y209" i="1" s="1"/>
  <c r="CY209" i="1"/>
  <c r="X209" i="1" s="1"/>
  <c r="GN209" i="1" s="1"/>
  <c r="U167" i="1"/>
  <c r="I257" i="1"/>
  <c r="R250" i="1"/>
  <c r="GK250" i="1" s="1"/>
  <c r="Q250" i="1"/>
  <c r="S250" i="1"/>
  <c r="T250" i="1"/>
  <c r="F228" i="1"/>
  <c r="BB201" i="1"/>
  <c r="AX170" i="1"/>
  <c r="CG161" i="1"/>
  <c r="S255" i="1"/>
  <c r="AO246" i="1"/>
  <c r="F268" i="1"/>
  <c r="GM251" i="1"/>
  <c r="AP70" i="1"/>
  <c r="F94" i="1"/>
  <c r="CI26" i="1"/>
  <c r="AZ39" i="1"/>
  <c r="CG116" i="1"/>
  <c r="AX130" i="1"/>
  <c r="GM77" i="1"/>
  <c r="CI70" i="1"/>
  <c r="AZ85" i="1"/>
  <c r="GP83" i="1"/>
  <c r="GM83" i="1"/>
  <c r="GM163" i="1"/>
  <c r="CP163" i="1"/>
  <c r="O163" i="1" s="1"/>
  <c r="GN163" i="1"/>
  <c r="CX44" i="3"/>
  <c r="CX43" i="3"/>
  <c r="CX42" i="3"/>
  <c r="Q124" i="1"/>
  <c r="S124" i="1"/>
  <c r="T124" i="1"/>
  <c r="U124" i="1"/>
  <c r="I125" i="1"/>
  <c r="AO70" i="1"/>
  <c r="F89" i="1"/>
  <c r="AO329" i="1"/>
  <c r="CK161" i="1"/>
  <c r="BB170" i="1"/>
  <c r="BY116" i="1"/>
  <c r="AP130" i="1"/>
  <c r="CI130" i="1"/>
  <c r="U205" i="1"/>
  <c r="W249" i="1"/>
  <c r="AQ295" i="1"/>
  <c r="F310" i="1"/>
  <c r="AT246" i="1"/>
  <c r="F282" i="1"/>
  <c r="U255" i="1"/>
  <c r="GN207" i="1"/>
  <c r="GM207" i="1"/>
  <c r="BC26" i="1"/>
  <c r="F55" i="1"/>
  <c r="GM72" i="1"/>
  <c r="GN72" i="1"/>
  <c r="CP72" i="1"/>
  <c r="O72" i="1" s="1"/>
  <c r="S80" i="1"/>
  <c r="U80" i="1"/>
  <c r="GX80" i="1"/>
  <c r="CX32" i="3"/>
  <c r="Q80" i="1"/>
  <c r="I81" i="1"/>
  <c r="R80" i="1"/>
  <c r="W124" i="1"/>
  <c r="GN164" i="1"/>
  <c r="CP210" i="1"/>
  <c r="O210" i="1" s="1"/>
  <c r="CL264" i="1"/>
  <c r="CP248" i="1"/>
  <c r="O248" i="1" s="1"/>
  <c r="GM248" i="1"/>
  <c r="GN248" i="1"/>
  <c r="GN208" i="1"/>
  <c r="P250" i="1"/>
  <c r="AZ300" i="1"/>
  <c r="CI295" i="1"/>
  <c r="AX295" i="1"/>
  <c r="F307" i="1"/>
  <c r="GM30" i="1"/>
  <c r="GN30" i="1"/>
  <c r="GN32" i="1"/>
  <c r="GM122" i="1"/>
  <c r="CP122" i="1"/>
  <c r="O122" i="1" s="1"/>
  <c r="GN122" i="1"/>
  <c r="AQ116" i="1"/>
  <c r="F140" i="1"/>
  <c r="CI161" i="1"/>
  <c r="AZ170" i="1"/>
  <c r="F180" i="1"/>
  <c r="AQ161" i="1"/>
  <c r="AT116" i="1"/>
  <c r="F148" i="1"/>
  <c r="AP161" i="1"/>
  <c r="F179" i="1"/>
  <c r="V205" i="1"/>
  <c r="GN29" i="1"/>
  <c r="BB70" i="1"/>
  <c r="F98" i="1"/>
  <c r="CP165" i="1"/>
  <c r="O165" i="1" s="1"/>
  <c r="CX55" i="3"/>
  <c r="Q167" i="1"/>
  <c r="I168" i="1"/>
  <c r="W167" i="1"/>
  <c r="T167" i="1"/>
  <c r="S167" i="1"/>
  <c r="GP127" i="1"/>
  <c r="GM127" i="1"/>
  <c r="V167" i="1"/>
  <c r="P249" i="1"/>
  <c r="R205" i="1"/>
  <c r="W205" i="1"/>
  <c r="CX100" i="3"/>
  <c r="CX99" i="3"/>
  <c r="CX98" i="3"/>
  <c r="CX97" i="3"/>
  <c r="CX95" i="3"/>
  <c r="CX103" i="3"/>
  <c r="CX94" i="3"/>
  <c r="CX102" i="3"/>
  <c r="CX101" i="3"/>
  <c r="CX104" i="3"/>
  <c r="CX96" i="3"/>
  <c r="I256" i="1"/>
  <c r="Q255" i="1"/>
  <c r="R255" i="1"/>
  <c r="GK255" i="1" s="1"/>
  <c r="F233" i="1"/>
  <c r="AT201" i="1"/>
  <c r="AP295" i="1"/>
  <c r="F309" i="1"/>
  <c r="AQ246" i="1"/>
  <c r="F274" i="1"/>
  <c r="GP128" i="1"/>
  <c r="GM128" i="1"/>
  <c r="CP252" i="1"/>
  <c r="O252" i="1" s="1"/>
  <c r="GM252" i="1" s="1"/>
  <c r="FR252" i="1"/>
  <c r="BY264" i="1" s="1"/>
  <c r="CK116" i="1"/>
  <c r="BB130" i="1"/>
  <c r="AQ70" i="1"/>
  <c r="F95" i="1"/>
  <c r="GM78" i="1"/>
  <c r="GN78" i="1"/>
  <c r="CP73" i="1"/>
  <c r="O73" i="1" s="1"/>
  <c r="GM29" i="1"/>
  <c r="CP119" i="1"/>
  <c r="O119" i="1" s="1"/>
  <c r="GN120" i="1"/>
  <c r="GM120" i="1"/>
  <c r="CP123" i="1"/>
  <c r="O123" i="1" s="1"/>
  <c r="T80" i="1"/>
  <c r="R124" i="1"/>
  <c r="GK124" i="1" s="1"/>
  <c r="R167" i="1"/>
  <c r="CP204" i="1"/>
  <c r="O204" i="1" s="1"/>
  <c r="CK264" i="1"/>
  <c r="P255" i="1"/>
  <c r="GX249" i="1"/>
  <c r="T205" i="1"/>
  <c r="CY74" i="1"/>
  <c r="X74" i="1" s="1"/>
  <c r="CZ74" i="1"/>
  <c r="Y74" i="1" s="1"/>
  <c r="AO116" i="1"/>
  <c r="F134" i="1"/>
  <c r="AP26" i="1"/>
  <c r="F48" i="1"/>
  <c r="CP74" i="1"/>
  <c r="O74" i="1" s="1"/>
  <c r="Q249" i="1"/>
  <c r="U249" i="1"/>
  <c r="S249" i="1"/>
  <c r="CX12" i="3"/>
  <c r="Q37" i="1"/>
  <c r="S37" i="1"/>
  <c r="T37" i="1"/>
  <c r="P37" i="1"/>
  <c r="R37" i="1"/>
  <c r="CK39" i="1"/>
  <c r="Q33" i="1"/>
  <c r="CX7" i="3"/>
  <c r="S33" i="1"/>
  <c r="CX6" i="3"/>
  <c r="I34" i="1"/>
  <c r="R33" i="1"/>
  <c r="GK33" i="1" s="1"/>
  <c r="CX8" i="3"/>
  <c r="CY32" i="1"/>
  <c r="X32" i="1" s="1"/>
  <c r="GM32" i="1" s="1"/>
  <c r="CZ32" i="1"/>
  <c r="Y32" i="1" s="1"/>
  <c r="AX26" i="1"/>
  <c r="F46" i="1"/>
  <c r="T33" i="1"/>
  <c r="CP79" i="1"/>
  <c r="O79" i="1" s="1"/>
  <c r="GN118" i="1"/>
  <c r="V33" i="1"/>
  <c r="GX124" i="1"/>
  <c r="AT70" i="1"/>
  <c r="F103" i="1"/>
  <c r="AT329" i="1"/>
  <c r="BY201" i="1"/>
  <c r="AP215" i="1"/>
  <c r="CI215" i="1"/>
  <c r="CY213" i="1"/>
  <c r="X213" i="1" s="1"/>
  <c r="GP213" i="1" s="1"/>
  <c r="CZ213" i="1"/>
  <c r="Y213" i="1" s="1"/>
  <c r="S206" i="1"/>
  <c r="AX70" i="1"/>
  <c r="F92" i="1"/>
  <c r="T249" i="1"/>
  <c r="W250" i="1"/>
  <c r="CX92" i="3"/>
  <c r="CX93" i="3"/>
  <c r="P253" i="1"/>
  <c r="GY253" i="1"/>
  <c r="I254" i="1"/>
  <c r="W253" i="1"/>
  <c r="GX253" i="1"/>
  <c r="CG246" i="1"/>
  <c r="AX264" i="1"/>
  <c r="F57" i="1" l="1"/>
  <c r="AT26" i="1"/>
  <c r="CP167" i="1"/>
  <c r="O167" i="1" s="1"/>
  <c r="K213" i="5"/>
  <c r="CP80" i="1"/>
  <c r="O80" i="1" s="1"/>
  <c r="K112" i="5"/>
  <c r="I14" i="5"/>
  <c r="H275" i="5"/>
  <c r="H365" i="5"/>
  <c r="J366" i="5"/>
  <c r="J276" i="5"/>
  <c r="AE85" i="1"/>
  <c r="CX56" i="3"/>
  <c r="Q168" i="1"/>
  <c r="AD170" i="1" s="1"/>
  <c r="P168" i="1"/>
  <c r="S168" i="1"/>
  <c r="V168" i="1"/>
  <c r="W168" i="1"/>
  <c r="T168" i="1"/>
  <c r="R168" i="1"/>
  <c r="AE170" i="1" s="1"/>
  <c r="GX168" i="1"/>
  <c r="CJ170" i="1" s="1"/>
  <c r="U168" i="1"/>
  <c r="AH170" i="1" s="1"/>
  <c r="CZ124" i="1"/>
  <c r="Y124" i="1" s="1"/>
  <c r="CY124" i="1"/>
  <c r="X124" i="1" s="1"/>
  <c r="I260" i="1"/>
  <c r="T256" i="1"/>
  <c r="U256" i="1"/>
  <c r="Q256" i="1"/>
  <c r="GX256" i="1"/>
  <c r="P256" i="1"/>
  <c r="S256" i="1"/>
  <c r="V256" i="1"/>
  <c r="W256" i="1"/>
  <c r="R256" i="1"/>
  <c r="GK256" i="1" s="1"/>
  <c r="GM73" i="1"/>
  <c r="GN73" i="1"/>
  <c r="GM213" i="1"/>
  <c r="CX33" i="3"/>
  <c r="P81" i="1"/>
  <c r="Q81" i="1"/>
  <c r="AD85" i="1" s="1"/>
  <c r="R81" i="1"/>
  <c r="W81" i="1"/>
  <c r="AJ85" i="1" s="1"/>
  <c r="U81" i="1"/>
  <c r="T81" i="1"/>
  <c r="AG85" i="1" s="1"/>
  <c r="GX81" i="1"/>
  <c r="V81" i="1"/>
  <c r="AI85" i="1" s="1"/>
  <c r="S81" i="1"/>
  <c r="AX161" i="1"/>
  <c r="F177" i="1"/>
  <c r="F146" i="1"/>
  <c r="BC116" i="1"/>
  <c r="Q298" i="1"/>
  <c r="T298" i="1"/>
  <c r="I297" i="1"/>
  <c r="W298" i="1"/>
  <c r="U298" i="1"/>
  <c r="V298" i="1"/>
  <c r="GX298" i="1"/>
  <c r="P298" i="1"/>
  <c r="CP298" i="1" s="1"/>
  <c r="O298" i="1" s="1"/>
  <c r="R298" i="1"/>
  <c r="S298" i="1"/>
  <c r="CY37" i="1"/>
  <c r="X37" i="1" s="1"/>
  <c r="CZ37" i="1"/>
  <c r="Y37" i="1" s="1"/>
  <c r="CP124" i="1"/>
  <c r="O124" i="1" s="1"/>
  <c r="AO22" i="1"/>
  <c r="F333" i="1"/>
  <c r="AO358" i="1"/>
  <c r="CG201" i="1"/>
  <c r="AX215" i="1"/>
  <c r="AP201" i="1"/>
  <c r="F224" i="1"/>
  <c r="CP33" i="1"/>
  <c r="O33" i="1" s="1"/>
  <c r="F143" i="1"/>
  <c r="BB116" i="1"/>
  <c r="GM165" i="1"/>
  <c r="GN165" i="1"/>
  <c r="AZ70" i="1"/>
  <c r="F96" i="1"/>
  <c r="CX84" i="3"/>
  <c r="Q211" i="1"/>
  <c r="S211" i="1"/>
  <c r="GX211" i="1"/>
  <c r="V211" i="1"/>
  <c r="I212" i="1"/>
  <c r="U211" i="1"/>
  <c r="W211" i="1"/>
  <c r="P211" i="1"/>
  <c r="T211" i="1"/>
  <c r="R211" i="1"/>
  <c r="GK211" i="1" s="1"/>
  <c r="CY80" i="1"/>
  <c r="X80" i="1" s="1"/>
  <c r="GP80" i="1" s="1"/>
  <c r="CZ80" i="1"/>
  <c r="Y80" i="1" s="1"/>
  <c r="F183" i="1"/>
  <c r="BB161" i="1"/>
  <c r="AX116" i="1"/>
  <c r="F137" i="1"/>
  <c r="F225" i="1"/>
  <c r="AQ201" i="1"/>
  <c r="GM119" i="1"/>
  <c r="GN119" i="1"/>
  <c r="CY255" i="1"/>
  <c r="X255" i="1" s="1"/>
  <c r="CZ255" i="1"/>
  <c r="Y255" i="1" s="1"/>
  <c r="AX246" i="1"/>
  <c r="F271" i="1"/>
  <c r="CI201" i="1"/>
  <c r="AZ215" i="1"/>
  <c r="AZ26" i="1"/>
  <c r="F50" i="1"/>
  <c r="CX107" i="3"/>
  <c r="CX106" i="3"/>
  <c r="CX105" i="3"/>
  <c r="I258" i="1"/>
  <c r="Q257" i="1"/>
  <c r="S257" i="1"/>
  <c r="T257" i="1"/>
  <c r="U257" i="1"/>
  <c r="R257" i="1"/>
  <c r="GK257" i="1" s="1"/>
  <c r="W257" i="1"/>
  <c r="GX257" i="1"/>
  <c r="V257" i="1"/>
  <c r="P257" i="1"/>
  <c r="CP257" i="1" s="1"/>
  <c r="O257" i="1" s="1"/>
  <c r="CP255" i="1"/>
  <c r="O255" i="1" s="1"/>
  <c r="CY167" i="1"/>
  <c r="X167" i="1" s="1"/>
  <c r="GP167" i="1" s="1"/>
  <c r="CZ167" i="1"/>
  <c r="Y167" i="1" s="1"/>
  <c r="AF170" i="1"/>
  <c r="CL246" i="1"/>
  <c r="BC264" i="1"/>
  <c r="CI116" i="1"/>
  <c r="AZ130" i="1"/>
  <c r="CX45" i="3"/>
  <c r="P125" i="1"/>
  <c r="Q125" i="1"/>
  <c r="K168" i="5" s="1"/>
  <c r="I126" i="1"/>
  <c r="T125" i="1"/>
  <c r="S125" i="1"/>
  <c r="W125" i="1"/>
  <c r="R125" i="1"/>
  <c r="V125" i="1"/>
  <c r="U125" i="1"/>
  <c r="GX125" i="1"/>
  <c r="CY33" i="1"/>
  <c r="X33" i="1" s="1"/>
  <c r="CZ33" i="1"/>
  <c r="Y33" i="1" s="1"/>
  <c r="CP249" i="1"/>
  <c r="O249" i="1" s="1"/>
  <c r="CY249" i="1"/>
  <c r="X249" i="1" s="1"/>
  <c r="CZ249" i="1"/>
  <c r="Y249" i="1" s="1"/>
  <c r="I261" i="1"/>
  <c r="BB264" i="1"/>
  <c r="CK246" i="1"/>
  <c r="AQ329" i="1"/>
  <c r="AZ295" i="1"/>
  <c r="F311" i="1"/>
  <c r="GN210" i="1"/>
  <c r="GM210" i="1"/>
  <c r="CJ85" i="1"/>
  <c r="AP116" i="1"/>
  <c r="F139" i="1"/>
  <c r="CP206" i="1"/>
  <c r="O206" i="1" s="1"/>
  <c r="AT161" i="1"/>
  <c r="F188" i="1"/>
  <c r="CY205" i="1"/>
  <c r="X205" i="1" s="1"/>
  <c r="CZ205" i="1"/>
  <c r="Y205" i="1" s="1"/>
  <c r="GM209" i="1"/>
  <c r="CP253" i="1"/>
  <c r="O253" i="1" s="1"/>
  <c r="GM253" i="1"/>
  <c r="GN253" i="1"/>
  <c r="AZ161" i="1"/>
  <c r="F181" i="1"/>
  <c r="GN74" i="1"/>
  <c r="GM74" i="1"/>
  <c r="GM204" i="1"/>
  <c r="GN204" i="1"/>
  <c r="AF85" i="1"/>
  <c r="AI170" i="1"/>
  <c r="GM79" i="1"/>
  <c r="GN79" i="1"/>
  <c r="CB85" i="1" s="1"/>
  <c r="AT22" i="1"/>
  <c r="F347" i="1"/>
  <c r="AT358" i="1"/>
  <c r="CK26" i="1"/>
  <c r="BB39" i="1"/>
  <c r="GN123" i="1"/>
  <c r="GM123" i="1"/>
  <c r="S254" i="1"/>
  <c r="T254" i="1"/>
  <c r="Q254" i="1"/>
  <c r="GX254" i="1"/>
  <c r="U254" i="1"/>
  <c r="R254" i="1"/>
  <c r="P254" i="1"/>
  <c r="CP254" i="1" s="1"/>
  <c r="O254" i="1" s="1"/>
  <c r="W254" i="1"/>
  <c r="V254" i="1"/>
  <c r="CX9" i="3"/>
  <c r="Q34" i="1"/>
  <c r="K59" i="5" s="1"/>
  <c r="I35" i="1"/>
  <c r="GX34" i="1"/>
  <c r="R34" i="1"/>
  <c r="W34" i="1"/>
  <c r="U34" i="1"/>
  <c r="S34" i="1"/>
  <c r="P34" i="1"/>
  <c r="V34" i="1"/>
  <c r="T34" i="1"/>
  <c r="I262" i="1"/>
  <c r="BY246" i="1"/>
  <c r="CI264" i="1"/>
  <c r="AP264" i="1"/>
  <c r="AG170" i="1"/>
  <c r="CY206" i="1"/>
  <c r="X206" i="1" s="1"/>
  <c r="CZ206" i="1"/>
  <c r="Y206" i="1" s="1"/>
  <c r="AX329" i="1"/>
  <c r="CP37" i="1"/>
  <c r="O37" i="1" s="1"/>
  <c r="GK205" i="1"/>
  <c r="AJ170" i="1"/>
  <c r="CP250" i="1"/>
  <c r="O250" i="1" s="1"/>
  <c r="AH85" i="1"/>
  <c r="BC329" i="1"/>
  <c r="CB170" i="1"/>
  <c r="CZ250" i="1"/>
  <c r="Y250" i="1" s="1"/>
  <c r="CY250" i="1"/>
  <c r="X250" i="1" s="1"/>
  <c r="CP205" i="1"/>
  <c r="O205" i="1" s="1"/>
  <c r="J60" i="5" l="1"/>
  <c r="P60" i="5"/>
  <c r="J169" i="5"/>
  <c r="P169" i="5"/>
  <c r="J181" i="5" s="1"/>
  <c r="P214" i="5"/>
  <c r="J220" i="5" s="1"/>
  <c r="J214" i="5"/>
  <c r="F16" i="2"/>
  <c r="F18" i="2" s="1"/>
  <c r="J16" i="5"/>
  <c r="J370" i="5" s="1"/>
  <c r="J378" i="5" s="1"/>
  <c r="P113" i="5"/>
  <c r="J125" i="5" s="1"/>
  <c r="J113" i="5"/>
  <c r="CB130" i="1"/>
  <c r="AH130" i="1"/>
  <c r="AH161" i="1"/>
  <c r="U170" i="1"/>
  <c r="Q170" i="1"/>
  <c r="AD161" i="1"/>
  <c r="CJ161" i="1"/>
  <c r="BA170" i="1"/>
  <c r="AS85" i="1"/>
  <c r="CB70" i="1"/>
  <c r="AF130" i="1"/>
  <c r="AG70" i="1"/>
  <c r="T85" i="1"/>
  <c r="AE161" i="1"/>
  <c r="R170" i="1"/>
  <c r="AF161" i="1"/>
  <c r="S170" i="1"/>
  <c r="CP125" i="1"/>
  <c r="O125" i="1" s="1"/>
  <c r="AO18" i="1"/>
  <c r="F362" i="1"/>
  <c r="CX110" i="3"/>
  <c r="Q260" i="1"/>
  <c r="GX260" i="1"/>
  <c r="U260" i="1"/>
  <c r="R260" i="1"/>
  <c r="GK260" i="1" s="1"/>
  <c r="W260" i="1"/>
  <c r="S260" i="1"/>
  <c r="V260" i="1"/>
  <c r="P260" i="1"/>
  <c r="T260" i="1"/>
  <c r="CI246" i="1"/>
  <c r="AZ264" i="1"/>
  <c r="CJ39" i="1"/>
  <c r="GM249" i="1"/>
  <c r="GN249" i="1"/>
  <c r="BC22" i="1"/>
  <c r="F345" i="1"/>
  <c r="BC358" i="1"/>
  <c r="AX22" i="1"/>
  <c r="F336" i="1"/>
  <c r="AX358" i="1"/>
  <c r="CX10" i="3"/>
  <c r="Q35" i="1"/>
  <c r="AD39" i="1" s="1"/>
  <c r="R35" i="1"/>
  <c r="S35" i="1"/>
  <c r="W35" i="1"/>
  <c r="P35" i="1"/>
  <c r="GX35" i="1"/>
  <c r="U35" i="1"/>
  <c r="T35" i="1"/>
  <c r="AG39" i="1" s="1"/>
  <c r="V35" i="1"/>
  <c r="AI39" i="1" s="1"/>
  <c r="AT18" i="1"/>
  <c r="F376" i="1"/>
  <c r="CX111" i="3"/>
  <c r="Q261" i="1"/>
  <c r="U261" i="1"/>
  <c r="S261" i="1"/>
  <c r="GX261" i="1"/>
  <c r="T261" i="1"/>
  <c r="W261" i="1"/>
  <c r="V261" i="1"/>
  <c r="R261" i="1"/>
  <c r="P261" i="1"/>
  <c r="AZ116" i="1"/>
  <c r="F141" i="1"/>
  <c r="GM255" i="1"/>
  <c r="GN255" i="1"/>
  <c r="CX85" i="3"/>
  <c r="P212" i="1"/>
  <c r="Q212" i="1"/>
  <c r="V212" i="1"/>
  <c r="W212" i="1"/>
  <c r="AJ215" i="1" s="1"/>
  <c r="GX212" i="1"/>
  <c r="CJ215" i="1" s="1"/>
  <c r="T212" i="1"/>
  <c r="AG215" i="1" s="1"/>
  <c r="R212" i="1"/>
  <c r="AE215" i="1" s="1"/>
  <c r="U212" i="1"/>
  <c r="AH215" i="1" s="1"/>
  <c r="S212" i="1"/>
  <c r="GM33" i="1"/>
  <c r="GN33" i="1"/>
  <c r="CB39" i="1" s="1"/>
  <c r="V297" i="1"/>
  <c r="AI300" i="1" s="1"/>
  <c r="W297" i="1"/>
  <c r="AJ300" i="1" s="1"/>
  <c r="U297" i="1"/>
  <c r="AH300" i="1" s="1"/>
  <c r="T297" i="1"/>
  <c r="AG300" i="1" s="1"/>
  <c r="O297" i="1"/>
  <c r="R297" i="1"/>
  <c r="Q297" i="1"/>
  <c r="AD300" i="1" s="1"/>
  <c r="GX297" i="1"/>
  <c r="CJ300" i="1" s="1"/>
  <c r="P297" i="1"/>
  <c r="AC300" i="1" s="1"/>
  <c r="S297" i="1"/>
  <c r="CZ256" i="1"/>
  <c r="Y256" i="1" s="1"/>
  <c r="CY256" i="1"/>
  <c r="X256" i="1" s="1"/>
  <c r="GM167" i="1"/>
  <c r="V85" i="1"/>
  <c r="AI70" i="1"/>
  <c r="AE39" i="1"/>
  <c r="CJ70" i="1"/>
  <c r="BA85" i="1"/>
  <c r="AH70" i="1"/>
  <c r="U85" i="1"/>
  <c r="CZ257" i="1"/>
  <c r="Y257" i="1" s="1"/>
  <c r="GM257" i="1" s="1"/>
  <c r="CY257" i="1"/>
  <c r="X257" i="1" s="1"/>
  <c r="AI215" i="1"/>
  <c r="CZ298" i="1"/>
  <c r="Y298" i="1" s="1"/>
  <c r="CY298" i="1"/>
  <c r="X298" i="1" s="1"/>
  <c r="GM298" i="1" s="1"/>
  <c r="AJ70" i="1"/>
  <c r="W85" i="1"/>
  <c r="CP256" i="1"/>
  <c r="O256" i="1" s="1"/>
  <c r="GM80" i="1"/>
  <c r="V170" i="1"/>
  <c r="AI161" i="1"/>
  <c r="AF70" i="1"/>
  <c r="S85" i="1"/>
  <c r="CX112" i="3"/>
  <c r="Q262" i="1"/>
  <c r="R262" i="1"/>
  <c r="S262" i="1"/>
  <c r="T262" i="1"/>
  <c r="V262" i="1"/>
  <c r="GX262" i="1"/>
  <c r="U262" i="1"/>
  <c r="W262" i="1"/>
  <c r="P262" i="1"/>
  <c r="CP262" i="1" s="1"/>
  <c r="O262" i="1" s="1"/>
  <c r="GN257" i="1"/>
  <c r="AZ201" i="1"/>
  <c r="F226" i="1"/>
  <c r="GM124" i="1"/>
  <c r="GN124" i="1"/>
  <c r="AJ39" i="1"/>
  <c r="AQ22" i="1"/>
  <c r="F339" i="1"/>
  <c r="AQ358" i="1"/>
  <c r="CB161" i="1"/>
  <c r="AS170" i="1"/>
  <c r="BB26" i="1"/>
  <c r="F52" i="1"/>
  <c r="BB329" i="1"/>
  <c r="GN250" i="1"/>
  <c r="GM250" i="1"/>
  <c r="CP34" i="1"/>
  <c r="O34" i="1" s="1"/>
  <c r="AC39" i="1"/>
  <c r="GM205" i="1"/>
  <c r="GN205" i="1"/>
  <c r="AG161" i="1"/>
  <c r="T170" i="1"/>
  <c r="BC246" i="1"/>
  <c r="F280" i="1"/>
  <c r="CY211" i="1"/>
  <c r="X211" i="1" s="1"/>
  <c r="CZ211" i="1"/>
  <c r="Y211" i="1" s="1"/>
  <c r="AX201" i="1"/>
  <c r="F222" i="1"/>
  <c r="GP298" i="1"/>
  <c r="CD300" i="1" s="1"/>
  <c r="AD70" i="1"/>
  <c r="Q85" i="1"/>
  <c r="CZ168" i="1"/>
  <c r="Y168" i="1" s="1"/>
  <c r="AL170" i="1" s="1"/>
  <c r="CY168" i="1"/>
  <c r="X168" i="1" s="1"/>
  <c r="AK170" i="1" s="1"/>
  <c r="CP211" i="1"/>
  <c r="O211" i="1" s="1"/>
  <c r="AC215" i="1"/>
  <c r="AE70" i="1"/>
  <c r="R85" i="1"/>
  <c r="GK254" i="1"/>
  <c r="GP37" i="1"/>
  <c r="GM37" i="1"/>
  <c r="BB246" i="1"/>
  <c r="F277" i="1"/>
  <c r="GN206" i="1"/>
  <c r="GM206" i="1"/>
  <c r="CY125" i="1"/>
  <c r="X125" i="1" s="1"/>
  <c r="CZ125" i="1"/>
  <c r="Y125" i="1" s="1"/>
  <c r="AJ161" i="1"/>
  <c r="W170" i="1"/>
  <c r="CY34" i="1"/>
  <c r="X34" i="1" s="1"/>
  <c r="CZ34" i="1"/>
  <c r="Y34" i="1" s="1"/>
  <c r="CY254" i="1"/>
  <c r="X254" i="1" s="1"/>
  <c r="CZ254" i="1"/>
  <c r="Y254" i="1" s="1"/>
  <c r="CX108" i="3"/>
  <c r="I259" i="1"/>
  <c r="T258" i="1"/>
  <c r="Q258" i="1"/>
  <c r="K330" i="5" s="1"/>
  <c r="P258" i="1"/>
  <c r="W258" i="1"/>
  <c r="GX258" i="1"/>
  <c r="V258" i="1"/>
  <c r="S258" i="1"/>
  <c r="U258" i="1"/>
  <c r="R258" i="1"/>
  <c r="AP246" i="1"/>
  <c r="F273" i="1"/>
  <c r="AP329" i="1"/>
  <c r="AH39" i="1"/>
  <c r="CX46" i="3"/>
  <c r="Q126" i="1"/>
  <c r="AD130" i="1" s="1"/>
  <c r="S126" i="1"/>
  <c r="U126" i="1"/>
  <c r="W126" i="1"/>
  <c r="AJ130" i="1" s="1"/>
  <c r="T126" i="1"/>
  <c r="AG130" i="1" s="1"/>
  <c r="V126" i="1"/>
  <c r="AI130" i="1" s="1"/>
  <c r="GX126" i="1"/>
  <c r="CJ130" i="1" s="1"/>
  <c r="R126" i="1"/>
  <c r="AE130" i="1" s="1"/>
  <c r="P126" i="1"/>
  <c r="CP126" i="1" s="1"/>
  <c r="O126" i="1" s="1"/>
  <c r="CY81" i="1"/>
  <c r="X81" i="1" s="1"/>
  <c r="AK85" i="1" s="1"/>
  <c r="CZ81" i="1"/>
  <c r="Y81" i="1" s="1"/>
  <c r="AL85" i="1" s="1"/>
  <c r="CP81" i="1"/>
  <c r="O81" i="1" s="1"/>
  <c r="AC85" i="1"/>
  <c r="CP168" i="1"/>
  <c r="O168" i="1" s="1"/>
  <c r="AC170" i="1"/>
  <c r="J331" i="5" l="1"/>
  <c r="P331" i="5"/>
  <c r="J350" i="5" s="1"/>
  <c r="AD215" i="1"/>
  <c r="K269" i="5"/>
  <c r="J72" i="5"/>
  <c r="AJ201" i="1"/>
  <c r="W215" i="1"/>
  <c r="AD116" i="1"/>
  <c r="Q130" i="1"/>
  <c r="AK161" i="1"/>
  <c r="X170" i="1"/>
  <c r="U215" i="1"/>
  <c r="AH201" i="1"/>
  <c r="Y170" i="1"/>
  <c r="AL161" i="1"/>
  <c r="T39" i="1"/>
  <c r="AG26" i="1"/>
  <c r="AI116" i="1"/>
  <c r="V130" i="1"/>
  <c r="AE264" i="1"/>
  <c r="AJ264" i="1"/>
  <c r="CJ201" i="1"/>
  <c r="BA215" i="1"/>
  <c r="CD295" i="1"/>
  <c r="AU300" i="1"/>
  <c r="AQ18" i="1"/>
  <c r="F368" i="1"/>
  <c r="Q39" i="1"/>
  <c r="AD26" i="1"/>
  <c r="F102" i="1"/>
  <c r="AS70" i="1"/>
  <c r="AP22" i="1"/>
  <c r="F338" i="1"/>
  <c r="G16" i="2" s="1"/>
  <c r="G18" i="2" s="1"/>
  <c r="AP358" i="1"/>
  <c r="CE215" i="1"/>
  <c r="CF215" i="1"/>
  <c r="AC201" i="1"/>
  <c r="CH215" i="1"/>
  <c r="P215" i="1"/>
  <c r="CY297" i="1"/>
  <c r="X297" i="1" s="1"/>
  <c r="AK300" i="1" s="1"/>
  <c r="AF300" i="1"/>
  <c r="CZ297" i="1"/>
  <c r="Y297" i="1" s="1"/>
  <c r="AL300" i="1" s="1"/>
  <c r="AG201" i="1"/>
  <c r="T215" i="1"/>
  <c r="U161" i="1"/>
  <c r="F192" i="1"/>
  <c r="CH85" i="1"/>
  <c r="AC70" i="1"/>
  <c r="P85" i="1"/>
  <c r="CE85" i="1"/>
  <c r="CF85" i="1"/>
  <c r="CE300" i="1"/>
  <c r="CF300" i="1"/>
  <c r="AC295" i="1"/>
  <c r="CH300" i="1"/>
  <c r="P300" i="1"/>
  <c r="CY261" i="1"/>
  <c r="X261" i="1" s="1"/>
  <c r="CZ261" i="1"/>
  <c r="Y261" i="1" s="1"/>
  <c r="AX18" i="1"/>
  <c r="F365" i="1"/>
  <c r="GP125" i="1"/>
  <c r="CD130" i="1" s="1"/>
  <c r="GM125" i="1"/>
  <c r="AB130" i="1"/>
  <c r="AK70" i="1"/>
  <c r="X85" i="1"/>
  <c r="CY126" i="1"/>
  <c r="X126" i="1" s="1"/>
  <c r="AK130" i="1" s="1"/>
  <c r="CZ126" i="1"/>
  <c r="Y126" i="1" s="1"/>
  <c r="AH264" i="1"/>
  <c r="CX109" i="3"/>
  <c r="Q259" i="1"/>
  <c r="AD264" i="1" s="1"/>
  <c r="U259" i="1"/>
  <c r="R259" i="1"/>
  <c r="T259" i="1"/>
  <c r="AG264" i="1" s="1"/>
  <c r="W259" i="1"/>
  <c r="S259" i="1"/>
  <c r="AF264" i="1" s="1"/>
  <c r="P259" i="1"/>
  <c r="CP259" i="1" s="1"/>
  <c r="O259" i="1" s="1"/>
  <c r="V259" i="1"/>
  <c r="AI264" i="1" s="1"/>
  <c r="GX259" i="1"/>
  <c r="AL130" i="1"/>
  <c r="Q70" i="1"/>
  <c r="F97" i="1"/>
  <c r="GP262" i="1"/>
  <c r="GN256" i="1"/>
  <c r="GM256" i="1"/>
  <c r="V70" i="1"/>
  <c r="F108" i="1"/>
  <c r="GK297" i="1"/>
  <c r="AE300" i="1"/>
  <c r="AD201" i="1"/>
  <c r="Q215" i="1"/>
  <c r="BC18" i="1"/>
  <c r="F374" i="1"/>
  <c r="GN254" i="1"/>
  <c r="BA161" i="1"/>
  <c r="F190" i="1"/>
  <c r="CJ264" i="1"/>
  <c r="AC26" i="1"/>
  <c r="CE39" i="1"/>
  <c r="P39" i="1"/>
  <c r="CF39" i="1"/>
  <c r="CH39" i="1"/>
  <c r="CY212" i="1"/>
  <c r="X212" i="1" s="1"/>
  <c r="AK215" i="1" s="1"/>
  <c r="CZ212" i="1"/>
  <c r="Y212" i="1" s="1"/>
  <c r="AL215" i="1" s="1"/>
  <c r="CH170" i="1"/>
  <c r="AC161" i="1"/>
  <c r="P170" i="1"/>
  <c r="CE170" i="1"/>
  <c r="CF170" i="1"/>
  <c r="AH295" i="1"/>
  <c r="U300" i="1"/>
  <c r="GM126" i="1"/>
  <c r="GP126" i="1"/>
  <c r="CZ258" i="1"/>
  <c r="Y258" i="1" s="1"/>
  <c r="CY258" i="1"/>
  <c r="X258" i="1" s="1"/>
  <c r="F187" i="1"/>
  <c r="AS161" i="1"/>
  <c r="F109" i="1"/>
  <c r="W70" i="1"/>
  <c r="CA170" i="1"/>
  <c r="AB300" i="1"/>
  <c r="CP212" i="1"/>
  <c r="O212" i="1" s="1"/>
  <c r="AB215" i="1" s="1"/>
  <c r="CY35" i="1"/>
  <c r="X35" i="1" s="1"/>
  <c r="AK39" i="1" s="1"/>
  <c r="CZ35" i="1"/>
  <c r="Y35" i="1" s="1"/>
  <c r="AL39" i="1" s="1"/>
  <c r="CP260" i="1"/>
  <c r="O260" i="1" s="1"/>
  <c r="GM254" i="1"/>
  <c r="AF116" i="1"/>
  <c r="S130" i="1"/>
  <c r="U130" i="1"/>
  <c r="AH116" i="1"/>
  <c r="AE116" i="1"/>
  <c r="R130" i="1"/>
  <c r="R70" i="1"/>
  <c r="F99" i="1"/>
  <c r="GP34" i="1"/>
  <c r="GM34" i="1"/>
  <c r="U70" i="1"/>
  <c r="F107" i="1"/>
  <c r="T300" i="1"/>
  <c r="AG295" i="1"/>
  <c r="R161" i="1"/>
  <c r="F184" i="1"/>
  <c r="U39" i="1"/>
  <c r="AH26" i="1"/>
  <c r="GP168" i="1"/>
  <c r="CD170" i="1" s="1"/>
  <c r="GM168" i="1"/>
  <c r="AB170" i="1"/>
  <c r="GM81" i="1"/>
  <c r="CA85" i="1" s="1"/>
  <c r="GP81" i="1"/>
  <c r="CD85" i="1" s="1"/>
  <c r="AB85" i="1"/>
  <c r="AJ116" i="1"/>
  <c r="W130" i="1"/>
  <c r="W161" i="1"/>
  <c r="F194" i="1"/>
  <c r="BB22" i="1"/>
  <c r="F342" i="1"/>
  <c r="BB358" i="1"/>
  <c r="W39" i="1"/>
  <c r="AJ26" i="1"/>
  <c r="CZ262" i="1"/>
  <c r="Y262" i="1" s="1"/>
  <c r="GM262" i="1" s="1"/>
  <c r="CY262" i="1"/>
  <c r="X262" i="1" s="1"/>
  <c r="V161" i="1"/>
  <c r="F193" i="1"/>
  <c r="R39" i="1"/>
  <c r="AE26" i="1"/>
  <c r="BA300" i="1"/>
  <c r="CJ295" i="1"/>
  <c r="F275" i="1"/>
  <c r="AZ246" i="1"/>
  <c r="AZ329" i="1"/>
  <c r="S161" i="1"/>
  <c r="F185" i="1"/>
  <c r="CJ116" i="1"/>
  <c r="BA130" i="1"/>
  <c r="S70" i="1"/>
  <c r="F100" i="1"/>
  <c r="R215" i="1"/>
  <c r="AE201" i="1"/>
  <c r="V39" i="1"/>
  <c r="AI26" i="1"/>
  <c r="CY260" i="1"/>
  <c r="X260" i="1" s="1"/>
  <c r="CZ260" i="1"/>
  <c r="Y260" i="1" s="1"/>
  <c r="Q161" i="1"/>
  <c r="F182" i="1"/>
  <c r="BA70" i="1"/>
  <c r="F105" i="1"/>
  <c r="AJ295" i="1"/>
  <c r="W300" i="1"/>
  <c r="AC130" i="1"/>
  <c r="F106" i="1"/>
  <c r="T70" i="1"/>
  <c r="CB116" i="1"/>
  <c r="AS130" i="1"/>
  <c r="AG116" i="1"/>
  <c r="T130" i="1"/>
  <c r="CP258" i="1"/>
  <c r="O258" i="1" s="1"/>
  <c r="GM211" i="1"/>
  <c r="GN211" i="1"/>
  <c r="F191" i="1"/>
  <c r="T161" i="1"/>
  <c r="AI201" i="1"/>
  <c r="V215" i="1"/>
  <c r="AI295" i="1"/>
  <c r="V300" i="1"/>
  <c r="CJ26" i="1"/>
  <c r="BA39" i="1"/>
  <c r="AL70" i="1"/>
  <c r="Y85" i="1"/>
  <c r="AF215" i="1"/>
  <c r="CB215" i="1"/>
  <c r="AC264" i="1"/>
  <c r="Q300" i="1"/>
  <c r="AD295" i="1"/>
  <c r="CB26" i="1"/>
  <c r="AS39" i="1"/>
  <c r="CP261" i="1"/>
  <c r="O261" i="1" s="1"/>
  <c r="CP35" i="1"/>
  <c r="O35" i="1" s="1"/>
  <c r="AB39" i="1" s="1"/>
  <c r="AF39" i="1"/>
  <c r="CA130" i="1" l="1"/>
  <c r="J270" i="5"/>
  <c r="P270" i="5"/>
  <c r="AK26" i="1"/>
  <c r="X39" i="1"/>
  <c r="AR85" i="1"/>
  <c r="CA70" i="1"/>
  <c r="CB264" i="1"/>
  <c r="Y39" i="1"/>
  <c r="AL26" i="1"/>
  <c r="AF246" i="1"/>
  <c r="S264" i="1"/>
  <c r="AK116" i="1"/>
  <c r="X130" i="1"/>
  <c r="O39" i="1"/>
  <c r="AB26" i="1"/>
  <c r="CA116" i="1"/>
  <c r="AR130" i="1"/>
  <c r="V264" i="1"/>
  <c r="V329" i="1" s="1"/>
  <c r="AI246" i="1"/>
  <c r="CA161" i="1"/>
  <c r="AR170" i="1"/>
  <c r="P161" i="1"/>
  <c r="F173" i="1"/>
  <c r="CE26" i="1"/>
  <c r="AV39" i="1"/>
  <c r="Q201" i="1"/>
  <c r="F227" i="1"/>
  <c r="CF295" i="1"/>
  <c r="AW300" i="1"/>
  <c r="CB201" i="1"/>
  <c r="AS215" i="1"/>
  <c r="GM260" i="1"/>
  <c r="GN260" i="1"/>
  <c r="Q26" i="1"/>
  <c r="F51" i="1"/>
  <c r="Q295" i="1"/>
  <c r="F312" i="1"/>
  <c r="AC116" i="1"/>
  <c r="CF130" i="1"/>
  <c r="CH130" i="1"/>
  <c r="CE130" i="1"/>
  <c r="P130" i="1"/>
  <c r="W116" i="1"/>
  <c r="F154" i="1"/>
  <c r="S116" i="1"/>
  <c r="F145" i="1"/>
  <c r="AB295" i="1"/>
  <c r="O300" i="1"/>
  <c r="CF161" i="1"/>
  <c r="AW170" i="1"/>
  <c r="AW39" i="1"/>
  <c r="CF26" i="1"/>
  <c r="AL116" i="1"/>
  <c r="Y130" i="1"/>
  <c r="AB116" i="1"/>
  <c r="O130" i="1"/>
  <c r="AY300" i="1"/>
  <c r="CH295" i="1"/>
  <c r="CH70" i="1"/>
  <c r="AY85" i="1"/>
  <c r="P201" i="1"/>
  <c r="F218" i="1"/>
  <c r="F235" i="1"/>
  <c r="BA201" i="1"/>
  <c r="X161" i="1"/>
  <c r="F195" i="1"/>
  <c r="V295" i="1"/>
  <c r="F323" i="1"/>
  <c r="GM258" i="1"/>
  <c r="GP258" i="1"/>
  <c r="AB264" i="1"/>
  <c r="BA116" i="1"/>
  <c r="F150" i="1"/>
  <c r="F61" i="1"/>
  <c r="U26" i="1"/>
  <c r="U329" i="1"/>
  <c r="GM297" i="1"/>
  <c r="CA300" i="1" s="1"/>
  <c r="AV170" i="1"/>
  <c r="CE161" i="1"/>
  <c r="P26" i="1"/>
  <c r="F42" i="1"/>
  <c r="P329" i="1"/>
  <c r="AD246" i="1"/>
  <c r="Q264" i="1"/>
  <c r="Q329" i="1" s="1"/>
  <c r="CH201" i="1"/>
  <c r="AY215" i="1"/>
  <c r="T26" i="1"/>
  <c r="F60" i="1"/>
  <c r="AF26" i="1"/>
  <c r="S39" i="1"/>
  <c r="T116" i="1"/>
  <c r="F151" i="1"/>
  <c r="W26" i="1"/>
  <c r="F63" i="1"/>
  <c r="W329" i="1"/>
  <c r="V201" i="1"/>
  <c r="F238" i="1"/>
  <c r="AH246" i="1"/>
  <c r="U264" i="1"/>
  <c r="CE295" i="1"/>
  <c r="AV300" i="1"/>
  <c r="CF201" i="1"/>
  <c r="AW215" i="1"/>
  <c r="AS116" i="1"/>
  <c r="F147" i="1"/>
  <c r="AY170" i="1"/>
  <c r="CH161" i="1"/>
  <c r="CZ259" i="1"/>
  <c r="Y259" i="1" s="1"/>
  <c r="AL264" i="1" s="1"/>
  <c r="CY259" i="1"/>
  <c r="X259" i="1" s="1"/>
  <c r="AK264" i="1" s="1"/>
  <c r="CF70" i="1"/>
  <c r="AW85" i="1"/>
  <c r="CE201" i="1"/>
  <c r="AV215" i="1"/>
  <c r="Y161" i="1"/>
  <c r="F196" i="1"/>
  <c r="AB201" i="1"/>
  <c r="O215" i="1"/>
  <c r="GM259" i="1"/>
  <c r="GP259" i="1"/>
  <c r="F236" i="1"/>
  <c r="T201" i="1"/>
  <c r="GM261" i="1"/>
  <c r="GP261" i="1"/>
  <c r="V26" i="1"/>
  <c r="F62" i="1"/>
  <c r="R116" i="1"/>
  <c r="F144" i="1"/>
  <c r="AS26" i="1"/>
  <c r="F56" i="1"/>
  <c r="AL201" i="1"/>
  <c r="Y215" i="1"/>
  <c r="R300" i="1"/>
  <c r="AE295" i="1"/>
  <c r="CE70" i="1"/>
  <c r="AV85" i="1"/>
  <c r="Y300" i="1"/>
  <c r="AL295" i="1"/>
  <c r="AP18" i="1"/>
  <c r="F367" i="1"/>
  <c r="F153" i="1"/>
  <c r="V116" i="1"/>
  <c r="W201" i="1"/>
  <c r="F239" i="1"/>
  <c r="AB70" i="1"/>
  <c r="O85" i="1"/>
  <c r="W264" i="1"/>
  <c r="AJ246" i="1"/>
  <c r="GM35" i="1"/>
  <c r="CA39" i="1" s="1"/>
  <c r="GP35" i="1"/>
  <c r="CD39" i="1" s="1"/>
  <c r="BB18" i="1"/>
  <c r="F371" i="1"/>
  <c r="Q116" i="1"/>
  <c r="F142" i="1"/>
  <c r="S300" i="1"/>
  <c r="AF295" i="1"/>
  <c r="F319" i="1"/>
  <c r="AU295" i="1"/>
  <c r="F237" i="1"/>
  <c r="U201" i="1"/>
  <c r="AC246" i="1"/>
  <c r="P264" i="1"/>
  <c r="CF264" i="1"/>
  <c r="CH264" i="1"/>
  <c r="CE264" i="1"/>
  <c r="W295" i="1"/>
  <c r="F324" i="1"/>
  <c r="BA295" i="1"/>
  <c r="F320" i="1"/>
  <c r="CD116" i="1"/>
  <c r="AU130" i="1"/>
  <c r="CD70" i="1"/>
  <c r="AU85" i="1"/>
  <c r="AE246" i="1"/>
  <c r="R264" i="1"/>
  <c r="AF201" i="1"/>
  <c r="S215" i="1"/>
  <c r="R26" i="1"/>
  <c r="F53" i="1"/>
  <c r="CJ246" i="1"/>
  <c r="BA264" i="1"/>
  <c r="Y70" i="1"/>
  <c r="F111" i="1"/>
  <c r="AZ22" i="1"/>
  <c r="F340" i="1"/>
  <c r="AZ358" i="1"/>
  <c r="AB161" i="1"/>
  <c r="O170" i="1"/>
  <c r="T295" i="1"/>
  <c r="F321" i="1"/>
  <c r="R201" i="1"/>
  <c r="F229" i="1"/>
  <c r="GP212" i="1"/>
  <c r="CD215" i="1" s="1"/>
  <c r="GM212" i="1"/>
  <c r="CA215" i="1" s="1"/>
  <c r="U295" i="1"/>
  <c r="F322" i="1"/>
  <c r="AK201" i="1"/>
  <c r="X215" i="1"/>
  <c r="AG246" i="1"/>
  <c r="T264" i="1"/>
  <c r="F110" i="1"/>
  <c r="X70" i="1"/>
  <c r="P70" i="1"/>
  <c r="F88" i="1"/>
  <c r="BA26" i="1"/>
  <c r="F59" i="1"/>
  <c r="BA329" i="1"/>
  <c r="CD161" i="1"/>
  <c r="AU170" i="1"/>
  <c r="U116" i="1"/>
  <c r="F152" i="1"/>
  <c r="GN297" i="1"/>
  <c r="CB300" i="1" s="1"/>
  <c r="AY39" i="1"/>
  <c r="CH26" i="1"/>
  <c r="F303" i="1"/>
  <c r="P295" i="1"/>
  <c r="AK295" i="1"/>
  <c r="X300" i="1"/>
  <c r="J275" i="5" l="1"/>
  <c r="J365" i="5"/>
  <c r="CA264" i="1"/>
  <c r="AR264" i="1" s="1"/>
  <c r="AK246" i="1"/>
  <c r="X264" i="1"/>
  <c r="V22" i="1"/>
  <c r="V358" i="1"/>
  <c r="F352" i="1"/>
  <c r="CD26" i="1"/>
  <c r="AU39" i="1"/>
  <c r="AL246" i="1"/>
  <c r="Y264" i="1"/>
  <c r="CA201" i="1"/>
  <c r="AR215" i="1"/>
  <c r="CA246" i="1"/>
  <c r="T246" i="1"/>
  <c r="F285" i="1"/>
  <c r="F326" i="1"/>
  <c r="Y295" i="1"/>
  <c r="U22" i="1"/>
  <c r="U358" i="1"/>
  <c r="F351" i="1"/>
  <c r="AW295" i="1"/>
  <c r="F306" i="1"/>
  <c r="BA22" i="1"/>
  <c r="BA358" i="1"/>
  <c r="F349" i="1"/>
  <c r="AV201" i="1"/>
  <c r="F220" i="1"/>
  <c r="Q22" i="1"/>
  <c r="Q358" i="1"/>
  <c r="F341" i="1"/>
  <c r="AW161" i="1"/>
  <c r="F176" i="1"/>
  <c r="AR70" i="1"/>
  <c r="F112" i="1"/>
  <c r="AU161" i="1"/>
  <c r="F189" i="1"/>
  <c r="CD201" i="1"/>
  <c r="AU215" i="1"/>
  <c r="P246" i="1"/>
  <c r="F267" i="1"/>
  <c r="O70" i="1"/>
  <c r="F87" i="1"/>
  <c r="U246" i="1"/>
  <c r="F286" i="1"/>
  <c r="Q246" i="1"/>
  <c r="F276" i="1"/>
  <c r="S201" i="1"/>
  <c r="F230" i="1"/>
  <c r="S26" i="1"/>
  <c r="F54" i="1"/>
  <c r="S329" i="1"/>
  <c r="AR161" i="1"/>
  <c r="F197" i="1"/>
  <c r="P22" i="1"/>
  <c r="F332" i="1"/>
  <c r="P358" i="1"/>
  <c r="X116" i="1"/>
  <c r="F155" i="1"/>
  <c r="R246" i="1"/>
  <c r="F278" i="1"/>
  <c r="AY26" i="1"/>
  <c r="F47" i="1"/>
  <c r="W22" i="1"/>
  <c r="F353" i="1"/>
  <c r="W358" i="1"/>
  <c r="F279" i="1"/>
  <c r="S246" i="1"/>
  <c r="CE246" i="1"/>
  <c r="AV264" i="1"/>
  <c r="CA26" i="1"/>
  <c r="AR39" i="1"/>
  <c r="R295" i="1"/>
  <c r="F314" i="1"/>
  <c r="O116" i="1"/>
  <c r="F132" i="1"/>
  <c r="F302" i="1"/>
  <c r="O295" i="1"/>
  <c r="AY130" i="1"/>
  <c r="CH116" i="1"/>
  <c r="AV26" i="1"/>
  <c r="F44" i="1"/>
  <c r="AY70" i="1"/>
  <c r="F93" i="1"/>
  <c r="O26" i="1"/>
  <c r="F41" i="1"/>
  <c r="AV70" i="1"/>
  <c r="F90" i="1"/>
  <c r="AW26" i="1"/>
  <c r="F45" i="1"/>
  <c r="T329" i="1"/>
  <c r="F133" i="1"/>
  <c r="P116" i="1"/>
  <c r="AW70" i="1"/>
  <c r="F91" i="1"/>
  <c r="AY295" i="1"/>
  <c r="F308" i="1"/>
  <c r="CE116" i="1"/>
  <c r="AV130" i="1"/>
  <c r="X26" i="1"/>
  <c r="F64" i="1"/>
  <c r="X329" i="1"/>
  <c r="O161" i="1"/>
  <c r="F172" i="1"/>
  <c r="CH246" i="1"/>
  <c r="AY264" i="1"/>
  <c r="Y201" i="1"/>
  <c r="F241" i="1"/>
  <c r="F217" i="1"/>
  <c r="O201" i="1"/>
  <c r="F305" i="1"/>
  <c r="AV295" i="1"/>
  <c r="AY201" i="1"/>
  <c r="F223" i="1"/>
  <c r="F175" i="1"/>
  <c r="AV161" i="1"/>
  <c r="AB246" i="1"/>
  <c r="O264" i="1"/>
  <c r="O329" i="1" s="1"/>
  <c r="CF116" i="1"/>
  <c r="AW130" i="1"/>
  <c r="AR116" i="1"/>
  <c r="F157" i="1"/>
  <c r="AY161" i="1"/>
  <c r="F178" i="1"/>
  <c r="CB246" i="1"/>
  <c r="AS264" i="1"/>
  <c r="X201" i="1"/>
  <c r="F240" i="1"/>
  <c r="BA246" i="1"/>
  <c r="F284" i="1"/>
  <c r="AW201" i="1"/>
  <c r="F221" i="1"/>
  <c r="V246" i="1"/>
  <c r="F287" i="1"/>
  <c r="CB295" i="1"/>
  <c r="AS300" i="1"/>
  <c r="AU70" i="1"/>
  <c r="F104" i="1"/>
  <c r="R329" i="1"/>
  <c r="F325" i="1"/>
  <c r="X295" i="1"/>
  <c r="AZ18" i="1"/>
  <c r="F369" i="1"/>
  <c r="F149" i="1"/>
  <c r="AU116" i="1"/>
  <c r="AW264" i="1"/>
  <c r="AW329" i="1" s="1"/>
  <c r="CF246" i="1"/>
  <c r="S295" i="1"/>
  <c r="F315" i="1"/>
  <c r="W246" i="1"/>
  <c r="F288" i="1"/>
  <c r="CA295" i="1"/>
  <c r="AR300" i="1"/>
  <c r="CD264" i="1"/>
  <c r="Y116" i="1"/>
  <c r="F156" i="1"/>
  <c r="F232" i="1"/>
  <c r="AS201" i="1"/>
  <c r="Y26" i="1"/>
  <c r="F65" i="1"/>
  <c r="Y329" i="1"/>
  <c r="AW22" i="1" l="1"/>
  <c r="F335" i="1"/>
  <c r="AW358" i="1"/>
  <c r="AR26" i="1"/>
  <c r="F66" i="1"/>
  <c r="AR329" i="1"/>
  <c r="T22" i="1"/>
  <c r="F350" i="1"/>
  <c r="T358" i="1"/>
  <c r="F272" i="1"/>
  <c r="AY246" i="1"/>
  <c r="Q18" i="1"/>
  <c r="F370" i="1"/>
  <c r="AR246" i="1"/>
  <c r="F291" i="1"/>
  <c r="O22" i="1"/>
  <c r="O358" i="1"/>
  <c r="F331" i="1"/>
  <c r="P18" i="1"/>
  <c r="F361" i="1"/>
  <c r="BA18" i="1"/>
  <c r="F378" i="1"/>
  <c r="F135" i="1"/>
  <c r="AV116" i="1"/>
  <c r="AU201" i="1"/>
  <c r="F234" i="1"/>
  <c r="Y22" i="1"/>
  <c r="F355" i="1"/>
  <c r="Y358" i="1"/>
  <c r="AV329" i="1"/>
  <c r="U18" i="1"/>
  <c r="F380" i="1"/>
  <c r="AR201" i="1"/>
  <c r="F242" i="1"/>
  <c r="AY116" i="1"/>
  <c r="F138" i="1"/>
  <c r="R22" i="1"/>
  <c r="F343" i="1"/>
  <c r="J19" i="5" s="1"/>
  <c r="R358" i="1"/>
  <c r="AV246" i="1"/>
  <c r="F269" i="1"/>
  <c r="F270" i="1"/>
  <c r="AW246" i="1"/>
  <c r="AR295" i="1"/>
  <c r="F327" i="1"/>
  <c r="F317" i="1"/>
  <c r="AS295" i="1"/>
  <c r="AW116" i="1"/>
  <c r="F136" i="1"/>
  <c r="W18" i="1"/>
  <c r="F382" i="1"/>
  <c r="X246" i="1"/>
  <c r="F289" i="1"/>
  <c r="AY329" i="1"/>
  <c r="AU26" i="1"/>
  <c r="F58" i="1"/>
  <c r="CD246" i="1"/>
  <c r="AU264" i="1"/>
  <c r="V18" i="1"/>
  <c r="F381" i="1"/>
  <c r="S22" i="1"/>
  <c r="F344" i="1"/>
  <c r="J16" i="2" s="1"/>
  <c r="J18" i="2" s="1"/>
  <c r="S358" i="1"/>
  <c r="AS246" i="1"/>
  <c r="F281" i="1"/>
  <c r="AS329" i="1"/>
  <c r="O246" i="1"/>
  <c r="F266" i="1"/>
  <c r="X22" i="1"/>
  <c r="F354" i="1"/>
  <c r="X358" i="1"/>
  <c r="Y246" i="1"/>
  <c r="F290" i="1"/>
  <c r="X18" i="1" l="1"/>
  <c r="F383" i="1"/>
  <c r="AR22" i="1"/>
  <c r="F356" i="1"/>
  <c r="J14" i="5" s="1"/>
  <c r="AR358" i="1"/>
  <c r="AV22" i="1"/>
  <c r="F334" i="1"/>
  <c r="AV358" i="1"/>
  <c r="AW18" i="1"/>
  <c r="F364" i="1"/>
  <c r="S18" i="1"/>
  <c r="F373" i="1"/>
  <c r="AY22" i="1"/>
  <c r="F337" i="1"/>
  <c r="AY358" i="1"/>
  <c r="AU246" i="1"/>
  <c r="F283" i="1"/>
  <c r="R18" i="1"/>
  <c r="F372" i="1"/>
  <c r="Y18" i="1"/>
  <c r="F384" i="1"/>
  <c r="AS22" i="1"/>
  <c r="AS358" i="1"/>
  <c r="F346" i="1"/>
  <c r="AU329" i="1"/>
  <c r="O18" i="1"/>
  <c r="F360" i="1"/>
  <c r="T18" i="1"/>
  <c r="F379" i="1"/>
  <c r="E16" i="2" l="1"/>
  <c r="J15" i="5"/>
  <c r="J369" i="5" s="1"/>
  <c r="E18" i="2"/>
  <c r="AS18" i="1"/>
  <c r="F375" i="1"/>
  <c r="AY18" i="1"/>
  <c r="F366" i="1"/>
  <c r="AR18" i="1"/>
  <c r="F385" i="1"/>
  <c r="AV18" i="1"/>
  <c r="F363" i="1"/>
  <c r="AU22" i="1"/>
  <c r="AU358" i="1"/>
  <c r="F348" i="1"/>
  <c r="J377" i="5" l="1"/>
  <c r="J373" i="5"/>
  <c r="J374" i="5" s="1"/>
  <c r="H16" i="2"/>
  <c r="H18" i="2" s="1"/>
  <c r="J18" i="5"/>
  <c r="J372" i="5" s="1"/>
  <c r="J380" i="5" s="1"/>
  <c r="AU18" i="1"/>
  <c r="F377" i="1"/>
  <c r="J375" i="5" l="1"/>
  <c r="J376" i="5" s="1"/>
  <c r="J383" i="5" s="1"/>
  <c r="I16" i="2"/>
  <c r="I18" i="2" s="1"/>
  <c r="J384" i="5" l="1"/>
  <c r="J389" i="5" s="1"/>
  <c r="J385" i="5"/>
</calcChain>
</file>

<file path=xl/sharedStrings.xml><?xml version="1.0" encoding="utf-8"?>
<sst xmlns="http://schemas.openxmlformats.org/spreadsheetml/2006/main" count="5133" uniqueCount="524">
  <si>
    <t>Smeta.RU (Terminal)  (495) 974-1589</t>
  </si>
  <si>
    <t>_PS_</t>
  </si>
  <si>
    <t>Smeta.RU (Terminal)</t>
  </si>
  <si>
    <t/>
  </si>
  <si>
    <t>Кокошкино д.п., ул. Школьная_смр</t>
  </si>
  <si>
    <t>Сметные нормы списания</t>
  </si>
  <si>
    <t>Коды ОКП для ТСН-2001 МГЭ</t>
  </si>
  <si>
    <t>ТСН 2001 (МГЭ) - Новое строительство</t>
  </si>
  <si>
    <t>Типовой расчет Smeta.ru вер. 10 для ТСН-2001 МГЭ (Строительство), Доп 51 (от 01.08.2018 г.)</t>
  </si>
  <si>
    <t>Территориальные сметные нормативы для Москвы ТСН-2001 (МГЭ)</t>
  </si>
  <si>
    <t>Поправки для ТСН-2001 от 18.01.2019 г.</t>
  </si>
  <si>
    <t>Новая локальная смета</t>
  </si>
  <si>
    <t>Новый раздел</t>
  </si>
  <si>
    <t>ТЕПЛОВАЯ СЕТЬ  2Ду125 в ППУ-ПЭ бесканальная прокладка - 19.1м</t>
  </si>
  <si>
    <t>1</t>
  </si>
  <si>
    <t>16.1-3001-1</t>
  </si>
  <si>
    <t>Бесканальная прокладка трубопроводов из стальных труб с теплоизоляцией из пенополиуретана по проездам без дорожных покрытий и в зеленой зоне (в отвесных стенках с креплением инвентарными щитами), диаметр труб 200 мм</t>
  </si>
  <si>
    <t>1 м трубопровода</t>
  </si>
  <si>
    <t>ТСН-2001.16. Доп. 1-42. Сб. 1, т. 3001, поз. 1</t>
  </si>
  <si>
    <t>Ду125мм</t>
  </si>
  <si>
    <t>*0,78</t>
  </si>
  <si>
    <t>*1,15*0,86</t>
  </si>
  <si>
    <t>*1,15*0,92</t>
  </si>
  <si>
    <t>Укрупненные показатели стоимости строительства</t>
  </si>
  <si>
    <t>ТСН-2001.16-1. Укрупненные показатели стоимости строительства (доп. 17, 24)</t>
  </si>
  <si>
    <t>ТСН-2001.16-0-1</t>
  </si>
  <si>
    <t>1,1</t>
  </si>
  <si>
    <t>9999990001</t>
  </si>
  <si>
    <t>Масса мусора</t>
  </si>
  <si>
    <t>т</t>
  </si>
  <si>
    <t>1,2</t>
  </si>
  <si>
    <t>9999990004</t>
  </si>
  <si>
    <t>Объем грунта</t>
  </si>
  <si>
    <t>м3</t>
  </si>
  <si>
    <t>2</t>
  </si>
  <si>
    <t>16.3-14-1</t>
  </si>
  <si>
    <t>Газон в городских условиях, с посевом трав, с внесением растительной смеси слоем 20 см</t>
  </si>
  <si>
    <t>1 м2</t>
  </si>
  <si>
    <t>ТСН-2001.16. Доп. 1-42. Сб. 3, т. 14, поз. 1</t>
  </si>
  <si>
    <t>*1,15</t>
  </si>
  <si>
    <t>2,1</t>
  </si>
  <si>
    <t>3</t>
  </si>
  <si>
    <t>3.1-6-10</t>
  </si>
  <si>
    <t>Разработка грунта с погрузкой на автомобили-самосвалы экскаваторами с ковшом вместимостью 0,5 м3 группа грунтов 1-3</t>
  </si>
  <si>
    <t>100 м3 грунта</t>
  </si>
  <si>
    <t>ТСН-2001.3. Доп. 1-42. Сб. 1, т. 6, поз. 10</t>
  </si>
  <si>
    <t>Строительные работы</t>
  </si>
  <si>
    <t>ТСН-2001.3-1. 1-1...1-7</t>
  </si>
  <si>
    <t>ТСН-2001.3-1-1</t>
  </si>
  <si>
    <t>4</t>
  </si>
  <si>
    <t>15.1-50-2</t>
  </si>
  <si>
    <t>Перевозка грунта с I по V группы на расстояние 50 км автосамосвалами грузоподъемностью до 20 т</t>
  </si>
  <si>
    <t>1 м3</t>
  </si>
  <si>
    <t>ТСН-2001.15. Доп. 1-42. Сб. 1, т. 50, поз. 2</t>
  </si>
  <si>
    <t>Транспортные затраты</t>
  </si>
  <si>
    <t>ТСН-2001.15-1. Перевозка грунта</t>
  </si>
  <si>
    <t>ТСН-2001.15-1-3</t>
  </si>
  <si>
    <t>5</t>
  </si>
  <si>
    <t>15.1-0-9</t>
  </si>
  <si>
    <t>Размещение грунтов, полученных в результате производства земляных работ, не используемых для обратной засыпки: грунты не замусоренные экологически чистые</t>
  </si>
  <si>
    <t>1 Т</t>
  </si>
  <si>
    <t>ТСН-2001.15. Доп. 1-42. Сб. 1, т. 0, поз. 9</t>
  </si>
  <si>
    <t>6</t>
  </si>
  <si>
    <t>15.1-26-11</t>
  </si>
  <si>
    <t>Перевозка строительного мусора на расстояние 26 км автосамосвалами грузоподъемностью до 20 т</t>
  </si>
  <si>
    <t>ТСН-2001.15. Доп. 1-42. Сб. 1, т. 26, поз. 11</t>
  </si>
  <si>
    <t>ТСН-2001.15-1. Перевозка строительного мусора</t>
  </si>
  <si>
    <t>ТСН-2001.15-1-5</t>
  </si>
  <si>
    <t>7</t>
  </si>
  <si>
    <t>15.1-0-1</t>
  </si>
  <si>
    <t>Размещение строительного мусора</t>
  </si>
  <si>
    <t>ТСН-2001.15 Доп. 44, Сб. 1, т. 0, поз. 1</t>
  </si>
  <si>
    <t>ТСН-2001.15-1. Содержание свалки</t>
  </si>
  <si>
    <t>ТСН-2001.15-1-2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</si>
  <si>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</si>
  <si>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</si>
  <si>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</si>
  <si>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</si>
  <si>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</si>
  <si>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</si>
  <si>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</si>
  <si>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</si>
  <si>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</si>
  <si>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</si>
  <si>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</si>
  <si>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</si>
  <si>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</si>
  <si>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</si>
  <si>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</si>
  <si>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</si>
  <si>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</si>
  <si>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</si>
  <si>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</si>
  <si>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</si>
  <si>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</si>
  <si>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</si>
  <si>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</si>
  <si>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</si>
  <si>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</si>
  <si>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</si>
  <si>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</si>
  <si>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</si>
  <si>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</si>
  <si>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</si>
  <si>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</si>
  <si>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</si>
  <si>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</si>
  <si>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</si>
  <si>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</si>
  <si>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</si>
  <si>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</si>
  <si>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</si>
  <si>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</si>
  <si>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</si>
  <si>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</si>
  <si>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</si>
  <si>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</si>
  <si>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</si>
  <si>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</si>
  <si>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</si>
  <si>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</si>
  <si>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</si>
  <si>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</si>
  <si>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</si>
  <si>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</si>
  <si>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</si>
  <si>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ТЕПЛОВАЯ СЕТЬ 2Ду100 в ППУ-ПЭ непроходном канале - 20.5м</t>
  </si>
  <si>
    <t>8</t>
  </si>
  <si>
    <t>16.1-3021-1</t>
  </si>
  <si>
    <t>Прокладка тепловых сетей из стальных электросварных труб в каналах из сборного железобетона по проездам с дорожными покрытиями (в отвесных стенках с креплением металлическими трубами), диаметр труб 200 мм</t>
  </si>
  <si>
    <t>1 М</t>
  </si>
  <si>
    <t>ТСН-2001.16. Доп. 1-42. Сб. 1, т. 3021, поз. 1</t>
  </si>
  <si>
    <t>*0,96*0,96</t>
  </si>
  <si>
    <t>*1,15*0,98*0,96</t>
  </si>
  <si>
    <t>*1,15*0,96*0,96</t>
  </si>
  <si>
    <t>8,1</t>
  </si>
  <si>
    <t>1.1-1-630</t>
  </si>
  <si>
    <t>Маты минераловатные прошивные без обкладок, марка 75-100, толщина 70 мм</t>
  </si>
  <si>
    <t>ТСН-2001.1. Доп. 1-42. Р. 1, о. 1, поз. 630</t>
  </si>
  <si>
    <t>8,2</t>
  </si>
  <si>
    <t>1.12-2-5</t>
  </si>
  <si>
    <t>Пенополиуретановая изоляция труб, наружный диаметр 133 мм</t>
  </si>
  <si>
    <t>м</t>
  </si>
  <si>
    <t>ТСН-2001.1. Доп. 1-42. Р. 12, о. 2, поз. 5</t>
  </si>
  <si>
    <t>8,3</t>
  </si>
  <si>
    <t>8,4</t>
  </si>
  <si>
    <t>9</t>
  </si>
  <si>
    <t>3.24-42-5</t>
  </si>
  <si>
    <t>Бесканальная прокладка трубопроводов с теплоизоляцией из пенополиуретана. Изоляция стыков труб, диаметр труб 125мм</t>
  </si>
  <si>
    <t>1 стык</t>
  </si>
  <si>
    <t>ТСН-2001.3 Доп. 47, Сб. 24, т. 42, поз. 5</t>
  </si>
  <si>
    <t>20.5*2/8=6</t>
  </si>
  <si>
    <t>ТСН-2001.3-24. 24-1...24-60</t>
  </si>
  <si>
    <t>ТСН-2001.3-24-1</t>
  </si>
  <si>
    <t>9,1</t>
  </si>
  <si>
    <t>1.12-2-596</t>
  </si>
  <si>
    <t>Комплект для изоляции стыка МФЛ-1000, из пенополиуретана, наружный диаметр труб 133 мм</t>
  </si>
  <si>
    <t>КОМПЛЕКТ</t>
  </si>
  <si>
    <t>ТСН-2001.1. Доп. 1-42. Р. 12, о. 2, поз. 596</t>
  </si>
  <si>
    <t>10</t>
  </si>
  <si>
    <t>11</t>
  </si>
  <si>
    <t>12</t>
  </si>
  <si>
    <t>13</t>
  </si>
  <si>
    <t>14</t>
  </si>
  <si>
    <t>ТЕПЛОВАЯ КАМЕРА монолитная 3.5х3.5х2,0(h)м   - 1шт</t>
  </si>
  <si>
    <t>15</t>
  </si>
  <si>
    <t>16.1-2601-2</t>
  </si>
  <si>
    <t>Камеры тепловых сетей по проездам без дорожных покрытий и в зеленой зоне, размер камер 3,12 х 3,9 х 2,6 м</t>
  </si>
  <si>
    <t>1 КАМЕРА</t>
  </si>
  <si>
    <t>ТСН-2001.16. Доп. 1-42. Сб. 1, т. 2601, поз. 2</t>
  </si>
  <si>
    <t>(3.5+3.5)*2*2,0=28/36,504=0.767</t>
  </si>
  <si>
    <t>*0,767</t>
  </si>
  <si>
    <t>*1,15*0,767</t>
  </si>
  <si>
    <t>15,1</t>
  </si>
  <si>
    <t>15,2</t>
  </si>
  <si>
    <t>16</t>
  </si>
  <si>
    <t>16.1-2603-1</t>
  </si>
  <si>
    <t>Технологический узел камеры, диаметр трубопровода 200-300 мм</t>
  </si>
  <si>
    <t>1 УЗЕЛ</t>
  </si>
  <si>
    <t>ТСН-2001.16. Доп. 1-42. Сб. 1, т. 2603, поз. 1</t>
  </si>
  <si>
    <t>17</t>
  </si>
  <si>
    <t>17,1</t>
  </si>
  <si>
    <t>18</t>
  </si>
  <si>
    <t>19</t>
  </si>
  <si>
    <t>20</t>
  </si>
  <si>
    <t>21</t>
  </si>
  <si>
    <t>22</t>
  </si>
  <si>
    <t>ВОДОВЫПУСК Ду100мм труба на ж/б основании   - 50м</t>
  </si>
  <si>
    <t>23</t>
  </si>
  <si>
    <t>16.1-1302-1</t>
  </si>
  <si>
    <t>Основания железобетонные под трубопроводы канализационных сетей и коллекторы из железобетонных труб, диаметр труб 400 мм</t>
  </si>
  <si>
    <t>ТСН-2001.16. Доп. 1-42. Сб. 1, т. 1302, поз. 1</t>
  </si>
  <si>
    <t>100/400=0,25</t>
  </si>
  <si>
    <t>*0,25</t>
  </si>
  <si>
    <t>*1,15*0,25</t>
  </si>
  <si>
    <t>24</t>
  </si>
  <si>
    <t>16.1-2002-2</t>
  </si>
  <si>
    <t>Устройство дренажа из асбестоцементных труб с двухслойным фильтром по проездам без дорожных покрытий и в зеленой зоне (в откосах), диаметр труб 200 мм, глубина заложения 3 м</t>
  </si>
  <si>
    <t>ТСН-2001.16. Доп. 1-42. Сб. 1, т. 2002, поз. 2</t>
  </si>
  <si>
    <t>100/200=0,5</t>
  </si>
  <si>
    <t>*0,5</t>
  </si>
  <si>
    <t>*1,15*0,5</t>
  </si>
  <si>
    <t>24,1</t>
  </si>
  <si>
    <t>25</t>
  </si>
  <si>
    <t>26</t>
  </si>
  <si>
    <t>27</t>
  </si>
  <si>
    <t>БАЙПАС 2Ду300мм -50м</t>
  </si>
  <si>
    <t>28</t>
  </si>
  <si>
    <t>16.1-3030-4</t>
  </si>
  <si>
    <t>Наземная прокладка тепловых сетей из стальных электросварных труб диаметром 300 мм</t>
  </si>
  <si>
    <t>ТСН-2001.16. Доп. 1-42. Сб. 1, т. 3030, поз. 4</t>
  </si>
  <si>
    <t>29</t>
  </si>
  <si>
    <t>3.24-4-9</t>
  </si>
  <si>
    <t>Надземная прокладка трубопроводов при условном давлении 1,6 мПа, температуре 150 градусов С, диаметром труб 300 мм</t>
  </si>
  <si>
    <t>1 км трубопровода</t>
  </si>
  <si>
    <t>ТСН-2001.3 Доп. 49, Сб. 24, т. 4, поз. 9</t>
  </si>
  <si>
    <t>*0</t>
  </si>
  <si>
    <t>*1,15*0,6</t>
  </si>
  <si>
    <t>29,1</t>
  </si>
  <si>
    <t>М/к</t>
  </si>
  <si>
    <t>тонна</t>
  </si>
  <si>
    <t>29,2</t>
  </si>
  <si>
    <t>Лом</t>
  </si>
  <si>
    <t>1м=58,73кг</t>
  </si>
  <si>
    <t>30</t>
  </si>
  <si>
    <t>6.66-162-2</t>
  </si>
  <si>
    <t>Разборка тепловой изоляции из ваты минеральной</t>
  </si>
  <si>
    <t>100 м2</t>
  </si>
  <si>
    <t>ТСН-2001.6. Доп. 1-42. Сб. 66, т. 162, поз. 2</t>
  </si>
  <si>
    <t>11.728м3*0,2т/м3=2.35т</t>
  </si>
  <si>
    <t>*1,1</t>
  </si>
  <si>
    <t>Ремонтно-строительные работы</t>
  </si>
  <si>
    <t>ТСН-2001.6-66. 66-139...66-164</t>
  </si>
  <si>
    <t>ТСН-2001.6-66-22</t>
  </si>
  <si>
    <t>30,1</t>
  </si>
  <si>
    <t>31</t>
  </si>
  <si>
    <t>3.26-52-1</t>
  </si>
  <si>
    <t>Разборка.  Покрытие поверхности изоляции трубопроводов кожухами из листов оцинкованной стали толщиной 0,55 мм</t>
  </si>
  <si>
    <t>1 м2 поверхности изоляции</t>
  </si>
  <si>
    <t>ТСН-2001.3. Доп. 1-42. Сб. 26, т. 52, поз. 1</t>
  </si>
  <si>
    <t>ТСН-2001.3-26. 26-1...26-54</t>
  </si>
  <si>
    <t>ТСН-2001.3-26-1</t>
  </si>
  <si>
    <t>31,1</t>
  </si>
  <si>
    <t>32</t>
  </si>
  <si>
    <t>6.68-13-1</t>
  </si>
  <si>
    <t>Механизированная погрузка строительного мусора в автомобили-самосвалы</t>
  </si>
  <si>
    <t>ТСН-2001.6. Доп. 1-42. Сб. 68, т. 13, поз. 1</t>
  </si>
  <si>
    <t>ТСН-2001.6-68. 68-13</t>
  </si>
  <si>
    <t>ТСН-2001.6-68-5</t>
  </si>
  <si>
    <t>33</t>
  </si>
  <si>
    <t>34</t>
  </si>
  <si>
    <t>КАМЕРА БАЙПАСА 3,2*3,2*2,0  - 2шт</t>
  </si>
  <si>
    <t>35</t>
  </si>
  <si>
    <t>К=(4,2+3,2)*2*2,0=25,6/36,504=0,701</t>
  </si>
  <si>
    <t>*0,701</t>
  </si>
  <si>
    <t>*1,15*0,701</t>
  </si>
  <si>
    <t>35,1</t>
  </si>
  <si>
    <t>35,2</t>
  </si>
  <si>
    <t>36</t>
  </si>
  <si>
    <t>Ду300мм</t>
  </si>
  <si>
    <t>36,1</t>
  </si>
  <si>
    <t>дог. пост.№ЭК-51/15-ДПЛ от 22.06.15</t>
  </si>
  <si>
    <t>Кран шаровой AQUARIUS 300.1.2.1 с редуктором</t>
  </si>
  <si>
    <t>1 шт.</t>
  </si>
  <si>
    <t>1 Замок</t>
  </si>
  <si>
    <t>Сметная стоимость оборудования</t>
  </si>
  <si>
    <t>ТСН-2001.13-1.</t>
  </si>
  <si>
    <t>ТСН-2001.13-1-1</t>
  </si>
  <si>
    <t>[171 898,6 /  3,22] +  3% Трансп +  1,2% Заг.скл</t>
  </si>
  <si>
    <t>37</t>
  </si>
  <si>
    <t>37,1</t>
  </si>
  <si>
    <t>38</t>
  </si>
  <si>
    <t>3.7-46-1</t>
  </si>
  <si>
    <t>Демонтаж камер со стенками из бетонных блоков</t>
  </si>
  <si>
    <t>100 м3 сборных железобетонных конструкций</t>
  </si>
  <si>
    <t>ТСН-2001.3. Доп. 1-42. Сб. 7, т. 46, поз. 1</t>
  </si>
  <si>
    <t>*1,15*0,8</t>
  </si>
  <si>
    <t>ТСН-2001.3-7. 7-31-10, 7-32...7-51</t>
  </si>
  <si>
    <t>ТСН-2001.3-7-4</t>
  </si>
  <si>
    <t>38,1</t>
  </si>
  <si>
    <t>Мусор</t>
  </si>
  <si>
    <t>1 т</t>
  </si>
  <si>
    <t>1 т арматуры в конструкции</t>
  </si>
  <si>
    <t>39</t>
  </si>
  <si>
    <t>40</t>
  </si>
  <si>
    <t>41</t>
  </si>
  <si>
    <t>42</t>
  </si>
  <si>
    <t>43</t>
  </si>
  <si>
    <t>44</t>
  </si>
  <si>
    <t>Цена возможной реализации (Приказ МКЭ-ОД/17-76 от 21.12.2017)</t>
  </si>
  <si>
    <t>45</t>
  </si>
  <si>
    <t>1.7-11-61</t>
  </si>
  <si>
    <t>Стальной лом черных металлов, вид лома 12А, для расчета возвратных сумм</t>
  </si>
  <si>
    <t>ТСН-2001.1 Доп. 47, Р. 7, о. 11, поз. 61</t>
  </si>
  <si>
    <t>Возврат</t>
  </si>
  <si>
    <t>ТСН-2001.1-7. 7-11-59...7-11-63 (Возврат)</t>
  </si>
  <si>
    <t>ТСН-2001.1-3</t>
  </si>
  <si>
    <t>46</t>
  </si>
  <si>
    <t>Прочие работы</t>
  </si>
  <si>
    <t>МЦЦС</t>
  </si>
  <si>
    <t>Уровень цен</t>
  </si>
  <si>
    <t>Сборник индексов</t>
  </si>
  <si>
    <t>Коэффициенты к ТСН-2001 МГЭ</t>
  </si>
  <si>
    <t>149</t>
  </si>
  <si>
    <t>_OBSM_</t>
  </si>
  <si>
    <t>9999990007</t>
  </si>
  <si>
    <t>Стоимость прочих машин (ЭСН)</t>
  </si>
  <si>
    <t>руб.</t>
  </si>
  <si>
    <t>9999990008</t>
  </si>
  <si>
    <t>Трудозатраты рабочих</t>
  </si>
  <si>
    <t>чел.-ч.</t>
  </si>
  <si>
    <t>2.1-1-4</t>
  </si>
  <si>
    <t>ТСН-2001.2. Доп. 1-42, п. 1-1-4 (010105)</t>
  </si>
  <si>
    <t>Экскаваторы на гусеничном ходу гидравлические, объем ковша до 0,5 м3</t>
  </si>
  <si>
    <t>маш.-ч.</t>
  </si>
  <si>
    <t>2.1-1-44</t>
  </si>
  <si>
    <t>ТСН-2001.2. Доп. 1-42, п. 1-1-44 (012103)</t>
  </si>
  <si>
    <t>Бульдозеры гусеничные, мощность до 79 кВт (108 л.с.)</t>
  </si>
  <si>
    <t>2.1-10-14</t>
  </si>
  <si>
    <t>ТСН-2001.2. Доп. 1-42, п. 1-10-14 (105003)</t>
  </si>
  <si>
    <t>Электрокомпрессоры прицепные, производительность до 1 м3/мин</t>
  </si>
  <si>
    <t>2.1-13-15</t>
  </si>
  <si>
    <t>ТСН-2001.2. Доп. 1-42, п. 1-13-15 (136201)</t>
  </si>
  <si>
    <t>Аппараты сварочные</t>
  </si>
  <si>
    <t>2.1-17-83</t>
  </si>
  <si>
    <t>ТСН-2001.2. Доп. 1-42, п. 1-17-83 (171201)</t>
  </si>
  <si>
    <t>Машинки для заварки пробок</t>
  </si>
  <si>
    <t>2.1-18-7</t>
  </si>
  <si>
    <t>ТСН-2001.2. Доп. 47. п.1-18-7 (183001)</t>
  </si>
  <si>
    <t>Автомобили грузовые бортовые, грузоподъемность до 5 т</t>
  </si>
  <si>
    <t>2.1-30-6</t>
  </si>
  <si>
    <t>ТСН-2001.2. Доп. 1-42, п. 1-30-6 (303701)</t>
  </si>
  <si>
    <t>Дрели электрические</t>
  </si>
  <si>
    <t>1.1-1-1463</t>
  </si>
  <si>
    <t>ТСН-2001.1. Доп. 1-42. Р. 1, о. 1, поз. 1463</t>
  </si>
  <si>
    <t>Шкурка шлифовальная на бумажной основе</t>
  </si>
  <si>
    <t>м2</t>
  </si>
  <si>
    <t>1.1-1-27</t>
  </si>
  <si>
    <t>ТСН-2001.1. Доп. 1-42. Р. 1, о. 1, поз. 27</t>
  </si>
  <si>
    <t>Ацетон синтетический технический</t>
  </si>
  <si>
    <t>1.1-1-987</t>
  </si>
  <si>
    <t>ТСН-2001.1. Доп. 1-42. Р. 1, о. 1, поз. 987</t>
  </si>
  <si>
    <t>Пропан-бутан газообразный</t>
  </si>
  <si>
    <t>2.1-10-9</t>
  </si>
  <si>
    <t>ТСН-2001.2. Доп. 46. п.1-10-9 (101101)</t>
  </si>
  <si>
    <t>Компрессоры прицепные с двигателем внутреннего сгорания, производительность до 5 м3/мин, мощность двигателя до 36 кВт (48,9 л.с.)</t>
  </si>
  <si>
    <t>2.1-13-8</t>
  </si>
  <si>
    <t>ТСН-2001.2. Доп. 1-42, п. 1-13-8 (135001)</t>
  </si>
  <si>
    <t>Агрегаты сварочные передвижные с дизельным двигателем, номинальный сварочный ток 250-400 А</t>
  </si>
  <si>
    <t>2.1-17-6</t>
  </si>
  <si>
    <t>ТСН-2001.2. Доп. 1-42, п. 1-17-6 (172201)</t>
  </si>
  <si>
    <t>Агрегаты наполнительно-опрессовочные для труб, производительность до 70 м3/час</t>
  </si>
  <si>
    <t>2.1-30-19</t>
  </si>
  <si>
    <t>ТСН-2001.2. Доп. 1-42, п. 1-30-19 (305001)</t>
  </si>
  <si>
    <t>Машины шлифовальные электрические</t>
  </si>
  <si>
    <t>2.1-30-46</t>
  </si>
  <si>
    <t>ТСН-2001.2. Доп. 1-42, п. 1-30-46 (308001)</t>
  </si>
  <si>
    <t>Преобразователи частоты тока до 500 А</t>
  </si>
  <si>
    <t>2.1-3-38</t>
  </si>
  <si>
    <t>ТСН-2001.2. Доп. 1-42, п. 1-3-38 (032009)</t>
  </si>
  <si>
    <t>Краны на автомобильном ходу, грузоподъемность до 16 т</t>
  </si>
  <si>
    <t>1.1-1-118</t>
  </si>
  <si>
    <t>ТСН-2001.1. Доп. 1-42. Р. 1, о. 1, поз. 118</t>
  </si>
  <si>
    <t>Вода</t>
  </si>
  <si>
    <t>1.1-1-1566</t>
  </si>
  <si>
    <t>ТСН-2001.1. Доп. 1-42. Р. 1, о. 1, поз. 1566</t>
  </si>
  <si>
    <t>Электроды, тип Э-42, 46, 50, диаметр 4 - 6 мм</t>
  </si>
  <si>
    <t>1.1-1-1602</t>
  </si>
  <si>
    <t>ТСН-2001.1. Доп. 1-42. Р. 1, о. 1, поз. 1602</t>
  </si>
  <si>
    <t>Круги шлифовальные, диаметр 230х3х22 мм</t>
  </si>
  <si>
    <t>шт.</t>
  </si>
  <si>
    <t>1.1-1-258</t>
  </si>
  <si>
    <t>ТСН-2001.1. Доп. 1-42. Р. 1, о. 1, поз. 258</t>
  </si>
  <si>
    <t>Известь хлорная</t>
  </si>
  <si>
    <t>1.12-9-37</t>
  </si>
  <si>
    <t>ТСН-2001.1. Доп. 1-42. Р. 12, о. 9, поз. 37</t>
  </si>
  <si>
    <t>Фланцы ответные стальные приварные в комплекте (фланцев-2, прокладок-2, болты, гайки), ГОСТ 12820-80, условное давление 1,6 (16) МПа (кгс/см2), диаметр условного прохода, 32 мм</t>
  </si>
  <si>
    <t>1.12-9-41</t>
  </si>
  <si>
    <t>ТСН-2001.1. Доп. 1-42. Р. 12, о. 9, поз. 41</t>
  </si>
  <si>
    <t>Фланцы ответные стальные приварные в комплекте (фланцев-2, прокладок-2, болты, гайки), ГОСТ 12820-80, условное давление 1,6 (16) МПа (кгс/см2), диаметр условного прохода, 100 мм</t>
  </si>
  <si>
    <t>1.13-1-30</t>
  </si>
  <si>
    <t>ТСН-2001.1. Доп. 1-42. Р. 13, о. 1, поз. 30</t>
  </si>
  <si>
    <t>Вентили стальные проходные, фланцевые для воды и пара, марка 15с27нж1, давление 6,4 (64) МПа (кгс/см2), диаметр 32 мм</t>
  </si>
  <si>
    <t>1.1-1-1087</t>
  </si>
  <si>
    <t>ТСН-2001.1. Доп. 1-42. Р. 1, о. 1, поз. 1087</t>
  </si>
  <si>
    <t>Сталь листовая, оцинкованная, толщина 0,7-0,8 мм</t>
  </si>
  <si>
    <t>1.1-1-545</t>
  </si>
  <si>
    <t>ТСН-2001.1. Доп. 1-42. Р. 1, о. 1, поз. 545</t>
  </si>
  <si>
    <t>Лента стальная упаковочная, мягкая, нормальной точности, размер 0,7х20-50 мм</t>
  </si>
  <si>
    <t>кг</t>
  </si>
  <si>
    <t>1.7-1-14</t>
  </si>
  <si>
    <t>ТСН-2001.1. Доп. 1-42. Р. 7, о. 1, поз. 14</t>
  </si>
  <si>
    <t>Детали покрытия из стали листовой оцинкованной</t>
  </si>
  <si>
    <t>9999990006</t>
  </si>
  <si>
    <t>Стоимость прочих материалов (ЭСН)</t>
  </si>
  <si>
    <t>2.1-13-10</t>
  </si>
  <si>
    <t>ТСН-2001.2. Доп. 1-42, п. 1-13-10 (135201)</t>
  </si>
  <si>
    <t>Агрегаты сварочные однопостовые для ручной электродуговой сварки</t>
  </si>
  <si>
    <t>ТСН-2001.2. Доп. 1-42, п. 1-18-7 (183001)</t>
  </si>
  <si>
    <t>2.1-3-35</t>
  </si>
  <si>
    <t>ТСН-2001.2. Доп. 1-42, п. 1-3-35 (032006)</t>
  </si>
  <si>
    <t>Краны на автомобильном ходу, грузоподъемность до 10 т</t>
  </si>
  <si>
    <t>2.1-6-52</t>
  </si>
  <si>
    <t>ТСН-2001.2. Доп. 1-42, п. 1-6-52 (069402)</t>
  </si>
  <si>
    <t>Вибраторы глубинные</t>
  </si>
  <si>
    <t>1.1-1-132</t>
  </si>
  <si>
    <t>ТСН-2001.1. Доп. 1-42. Р. 1, о. 1, поз. 132</t>
  </si>
  <si>
    <t>Гвозди строительные</t>
  </si>
  <si>
    <t>1.1-1-226</t>
  </si>
  <si>
    <t>ТСН-2001.1. Доп. 1-42. Р. 1, о. 1, поз. 226</t>
  </si>
  <si>
    <t>Доски хвойных пород, обрезные, длина 2-6,5 м, сорт III, толщина 25-32 мм</t>
  </si>
  <si>
    <t>1.1-1-51</t>
  </si>
  <si>
    <t>ТСН-2001.1. Доп. 1-42. Р. 1, о. 1, поз. 51</t>
  </si>
  <si>
    <t>Битумы нефтяные, кровельные, марка БНК-90/40</t>
  </si>
  <si>
    <t>1.9-11-4</t>
  </si>
  <si>
    <t>ТСН-2001.1. Доп. 1-42. Р. 9, о. 11, поз. 4</t>
  </si>
  <si>
    <t>Щиты деревянные для фундаментов, колонн, балок, перекрытий, стен, перегородок и других конструкций из досок, толщина 40 мм</t>
  </si>
  <si>
    <t>5775511000</t>
  </si>
  <si>
    <t>Комплект материалов для изоляции стыка</t>
  </si>
  <si>
    <t>2.1-11-90</t>
  </si>
  <si>
    <t>ТСН-2001.2. Доп. 1-42, п. 1-11-90 (111301)</t>
  </si>
  <si>
    <t>Агрегаты электронасосные для опрессовки сосудов, котлов и систем трубопроводов, подача 0,252 м3/ч</t>
  </si>
  <si>
    <t>1.12-9-36</t>
  </si>
  <si>
    <t>ТСН-2001.1. Доп. 1-42. Р. 12, о. 9, поз. 36</t>
  </si>
  <si>
    <t>Фланцы ответные стальные приварные в комплекте (фланцев-2, прокладок-2, болты, гайки), ГОСТ 12820-80, условное давление 1,6 (16) МПа (кгс/см2), диаметр условного прохода, 25 мм</t>
  </si>
  <si>
    <t>1.13-1-29</t>
  </si>
  <si>
    <t>ТСН-2001.1. Доп. 1-42. Р. 13, о. 1, поз. 29</t>
  </si>
  <si>
    <t>Вентили стальные проходные, фланцевые для воды и пара, марка 15с27нж1, давление 6,4 (64) МПа (кгс/см2), диаметр 25 мм</t>
  </si>
  <si>
    <t>1303010000</t>
  </si>
  <si>
    <t>Трубы стальные электросварные прямошовные</t>
  </si>
  <si>
    <t>1468040000</t>
  </si>
  <si>
    <t>Части фасонные водопроводные сварные</t>
  </si>
  <si>
    <t>3741210000</t>
  </si>
  <si>
    <t>Задвижки стальные</t>
  </si>
  <si>
    <t>5263151000</t>
  </si>
  <si>
    <t>Опоры скользящие</t>
  </si>
  <si>
    <t>5263152000</t>
  </si>
  <si>
    <t>Опоры неподвижные</t>
  </si>
  <si>
    <t>0930000000</t>
  </si>
  <si>
    <t>Арматура для монолитных железобетонных конструкций</t>
  </si>
  <si>
    <t>5296230000</t>
  </si>
  <si>
    <t>Люки чугунные</t>
  </si>
  <si>
    <t>5745090000</t>
  </si>
  <si>
    <t>Смеси бетонные, БСГ, песчаного бетона на обогащенном песке</t>
  </si>
  <si>
    <t>5745510000</t>
  </si>
  <si>
    <t>Раствор цементный</t>
  </si>
  <si>
    <t>5858000000</t>
  </si>
  <si>
    <t>Сборные железобетонные конструкции</t>
  </si>
  <si>
    <t>(наименование стройки)</t>
  </si>
  <si>
    <t>(локальный сметный расчет)</t>
  </si>
  <si>
    <t>базовая    цена</t>
  </si>
  <si>
    <t>текущая   цена</t>
  </si>
  <si>
    <t>Сметная стоимость</t>
  </si>
  <si>
    <t>Монтажные работы</t>
  </si>
  <si>
    <t>Оборудование</t>
  </si>
  <si>
    <t>Средства на оплату труда</t>
  </si>
  <si>
    <t xml:space="preserve">Кроме того: 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</si>
  <si>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</si>
  <si>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</si>
  <si>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</si>
  <si>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</si>
  <si>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</si>
  <si>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</si>
  <si>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</si>
  <si>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</si>
  <si>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</si>
  <si>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</si>
  <si>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</si>
  <si>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Форма № 1б</t>
  </si>
  <si>
    <t>Составлен(а) в уровне текущих (прогнозных) цен Коэффициенты к ТСН-2001 МГЭ №149 февраль 2019 года</t>
  </si>
  <si>
    <r>
      <t>Бесканальная прокладка трубопроводов из стальных труб с теплоизоляцией из пенополиуретана по проездам без дорожных покрытий и в зеленой зоне (в отвесных стенках с креплением инвентарными щитами), диаметр труб 200 мм</t>
    </r>
    <r>
      <rPr>
        <i/>
        <sz val="10"/>
        <rFont val="Arial"/>
        <family val="2"/>
        <charset val="204"/>
      </rPr>
      <t xml:space="preserve">
Ду125мм</t>
    </r>
  </si>
  <si>
    <t>ВСЕГО: в т.ч.</t>
  </si>
  <si>
    <t>ЗП с НР и СП по ТСН-2001.16</t>
  </si>
  <si>
    <t>ЭМ с НР и СП по ТСН-2001.16</t>
  </si>
  <si>
    <t>МР</t>
  </si>
  <si>
    <t>Прочие затраты</t>
  </si>
  <si>
    <t>к нр *0,78</t>
  </si>
  <si>
    <t>Объем грунта, м3</t>
  </si>
  <si>
    <t>Масса мусора, т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</si>
  <si>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</si>
  <si>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</si>
  <si>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</si>
  <si>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</si>
  <si>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</si>
  <si>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</si>
  <si>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</si>
  <si>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</si>
  <si>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</si>
  <si>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 xml:space="preserve">   Итого по ТСН-2001.16</t>
  </si>
  <si>
    <t xml:space="preserve">   Итого возвратных сумм</t>
  </si>
  <si>
    <r>
      <t>Прокладка тепловых сетей из стальных электросварных труб в каналах из сборного железобетона по проездам с дорожными покрытиями (в отвесных стенках с креплением металлическими трубами), диаметр труб 200 мм</t>
    </r>
    <r>
      <rPr>
        <i/>
        <sz val="10"/>
        <rFont val="Arial"/>
        <family val="2"/>
        <charset val="204"/>
      </rPr>
      <t xml:space="preserve">
Ду125мм</t>
    </r>
  </si>
  <si>
    <t>к нр *0,96*0,96</t>
  </si>
  <si>
    <r>
      <t>Бесканальная прокладка трубопроводов с теплоизоляцией из пенополиуретана. Изоляция стыков труб, диаметр труб 125мм</t>
    </r>
    <r>
      <rPr>
        <i/>
        <sz val="10"/>
        <rFont val="Arial"/>
        <family val="2"/>
        <charset val="204"/>
      </rPr>
      <t xml:space="preserve">
20.5*2/8=6</t>
    </r>
  </si>
  <si>
    <r>
      <t>Камеры тепловых сетей по проездам без дорожных покрытий и в зеленой зоне, размер камер 3,12 х 3,9 х 2,6 м</t>
    </r>
    <r>
      <rPr>
        <i/>
        <sz val="10"/>
        <rFont val="Arial"/>
        <family val="2"/>
        <charset val="204"/>
      </rPr>
      <t xml:space="preserve">
(3.5+3.5)*2*2,0=28/36,504=0.767</t>
    </r>
  </si>
  <si>
    <t>к нр *0,767</t>
  </si>
  <si>
    <r>
      <t>Технологический узел камеры, диаметр трубопровода 200-300 мм</t>
    </r>
    <r>
      <rPr>
        <i/>
        <sz val="10"/>
        <rFont val="Arial"/>
        <family val="2"/>
        <charset val="204"/>
      </rPr>
      <t xml:space="preserve">
Ду125мм</t>
    </r>
  </si>
  <si>
    <r>
      <t>Основания железобетонные под трубопроводы канализационных сетей и коллекторы из железобетонных труб, диаметр труб 400 мм</t>
    </r>
    <r>
      <rPr>
        <i/>
        <sz val="10"/>
        <rFont val="Arial"/>
        <family val="2"/>
        <charset val="204"/>
      </rPr>
      <t xml:space="preserve">
100/400=0,25</t>
    </r>
  </si>
  <si>
    <r>
      <t>Устройство дренажа из асбестоцементных труб с двухслойным фильтром по проездам без дорожных покрытий и в зеленой зоне (в откосах), диаметр труб 200 мм, глубина заложения 3 м</t>
    </r>
    <r>
      <rPr>
        <i/>
        <sz val="10"/>
        <rFont val="Arial"/>
        <family val="2"/>
        <charset val="204"/>
      </rPr>
      <t xml:space="preserve">
100/200=0,5</t>
    </r>
  </si>
  <si>
    <r>
      <t>Объем грунта</t>
    </r>
    <r>
      <rPr>
        <i/>
        <sz val="10"/>
        <rFont val="Arial"/>
        <family val="2"/>
        <charset val="204"/>
      </rPr>
      <t xml:space="preserve">
100/200=0,5</t>
    </r>
  </si>
  <si>
    <t>к нр *0,5</t>
  </si>
  <si>
    <r>
      <t>Разборка тепловой изоляции из ваты минеральной</t>
    </r>
    <r>
      <rPr>
        <i/>
        <sz val="10"/>
        <rFont val="Arial"/>
        <family val="2"/>
        <charset val="204"/>
      </rPr>
      <t xml:space="preserve">
11.728м3*0,2т/м3=2.35т</t>
    </r>
  </si>
  <si>
    <r>
      <t>Камеры тепловых сетей по проездам без дорожных покрытий и в зеленой зоне, размер камер 3,12 х 3,9 х 2,6 м</t>
    </r>
    <r>
      <rPr>
        <i/>
        <sz val="10"/>
        <rFont val="Arial"/>
        <family val="2"/>
        <charset val="204"/>
      </rPr>
      <t xml:space="preserve">
К=(4,2+3,2)*2*2,0=25,6/36,504=0,701</t>
    </r>
  </si>
  <si>
    <t>к нр *0,701</t>
  </si>
  <si>
    <r>
      <t>Технологический узел камеры, диаметр трубопровода 200-300 мм</t>
    </r>
    <r>
      <rPr>
        <i/>
        <sz val="10"/>
        <rFont val="Arial"/>
        <family val="2"/>
        <charset val="204"/>
      </rPr>
      <t xml:space="preserve">
Ду300мм</t>
    </r>
  </si>
  <si>
    <r>
      <t>ОБОРУДОВАНИЕ:
Кран шаровой AQUARIUS 300.1.2.1 с редуктором</t>
    </r>
    <r>
      <rPr>
        <i/>
        <sz val="10"/>
        <color rgb="FF821E82"/>
        <rFont val="Arial"/>
        <family val="2"/>
        <charset val="204"/>
      </rPr>
      <t xml:space="preserve">
Базисная стоимость: 55 646,03 = [171 898,6 /  3,22] +  3% Трансп +  1,2% Заг.скл</t>
    </r>
  </si>
  <si>
    <t>ВОЗВРАТ
Стальной лом черных металлов, вид лома 12А, для расчета возвратных сумм</t>
  </si>
  <si>
    <t xml:space="preserve">  тыс.руб</t>
  </si>
  <si>
    <t>Подключение к системам теплоснабжения ПАО «МОЭК» объекта капитального строительства «Рыночно-торговый комплекс», расположенного по адресу:
 г. Москва, д.п. Кокошкино, ул. Школьная</t>
  </si>
  <si>
    <t xml:space="preserve">Основание: ведомость работ </t>
  </si>
  <si>
    <t xml:space="preserve">   В том числе:</t>
  </si>
  <si>
    <t>Временные здания и сооружения 1,5% от СМР</t>
  </si>
  <si>
    <t>Итого с временными зданиями и сооружениями</t>
  </si>
  <si>
    <t>Непредвиденные затраты 3%</t>
  </si>
  <si>
    <t>Итого по смете с непредвиденными затратами, в т.ч:</t>
  </si>
  <si>
    <t>Итого по смете с непредвиденными затратами:</t>
  </si>
  <si>
    <t>в т.ч. стоимость строительно-монтажных работ</t>
  </si>
  <si>
    <t>в т.ч. стоимость МТР, подлежащих централизованной закупке (обеспечение подрядных организаций давальческими материалами)</t>
  </si>
  <si>
    <t>в т.ч. стоимость МТР, подлежащих централизованной закупке (обеспечение подрядных организаций давальческими материалами) (шаровые краны Ду более 500мм)</t>
  </si>
  <si>
    <t>Итого по смете (без учета стоимости МТР, подлежащих централизованной закупке (обеспечение подрядных организаций давальческими материалами), без НДС:</t>
  </si>
  <si>
    <t>Составил: Главный специалист расчетно-сметного сектора ОСДНС УНС</t>
  </si>
  <si>
    <t>Н.Е. Юхно</t>
  </si>
  <si>
    <t>Проверил: Начальник расчетно-сметного сектора ОСДНС УНС</t>
  </si>
  <si>
    <t>А.А. Федосова</t>
  </si>
  <si>
    <t>Предварительная локальная смета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</si>
</sst>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\ #,##0.00"/>
    <numFmt numFmtId="165" formatCode="#,##0.00####;[Red]\-\ #,##0.00####"/>
    <numFmt numFmtId="166" formatCode="#,##0.00_ ;[Red]\-#,##0.00\ "/>
    <numFmt numFmtId="167" formatCode="#,##0.00############;[Red]\-\ #,##0.00############"/>
  </numFmts>
  <fonts count="26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rgb="FF821E82"/>
      <name val="Arial"/>
      <family val="2"/>
      <charset val="204"/>
    </font>
    <font>
      <i/>
      <sz val="11"/>
      <color rgb="FF821E82"/>
      <name val="Arial"/>
      <family val="2"/>
      <charset val="204"/>
    </font>
    <font>
      <i/>
      <sz val="10"/>
      <color rgb="FF821E82"/>
      <name val="Arial"/>
      <family val="2"/>
      <charset val="204"/>
    </font>
    <font>
      <b/>
      <i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6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quotePrefix="1" applyFont="1" applyAlignment="1">
      <alignment horizontal="right" wrapText="1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/>
    </xf>
    <xf numFmtId="165" fontId="16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164" fontId="18" fillId="0" borderId="0" xfId="0" applyNumberFormat="1" applyFont="1" applyAlignment="1">
      <alignment horizontal="right"/>
    </xf>
    <xf numFmtId="0" fontId="0" fillId="0" borderId="5" xfId="0" applyBorder="1"/>
    <xf numFmtId="0" fontId="9" fillId="0" borderId="0" xfId="0" applyFont="1" applyAlignment="1">
      <alignment wrapText="1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right" wrapText="1"/>
    </xf>
    <xf numFmtId="0" fontId="19" fillId="0" borderId="0" xfId="0" applyFont="1" applyAlignment="1">
      <alignment horizontal="right"/>
    </xf>
    <xf numFmtId="165" fontId="19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0" fontId="19" fillId="0" borderId="0" xfId="0" quotePrefix="1" applyFont="1" applyAlignment="1">
      <alignment horizontal="right" wrapText="1"/>
    </xf>
    <xf numFmtId="0" fontId="9" fillId="0" borderId="0" xfId="2" applyFont="1"/>
    <xf numFmtId="0" fontId="23" fillId="0" borderId="0" xfId="2" applyFont="1"/>
    <xf numFmtId="0" fontId="9" fillId="0" borderId="0" xfId="0" applyFont="1"/>
    <xf numFmtId="0" fontId="9" fillId="0" borderId="1" xfId="0" applyFont="1" applyFill="1" applyBorder="1"/>
    <xf numFmtId="0" fontId="18" fillId="0" borderId="1" xfId="0" applyFont="1" applyFill="1" applyBorder="1" applyAlignment="1">
      <alignment horizontal="left" wrapText="1"/>
    </xf>
    <xf numFmtId="0" fontId="9" fillId="0" borderId="0" xfId="0" applyFont="1" applyFill="1"/>
    <xf numFmtId="0" fontId="0" fillId="0" borderId="0" xfId="0" applyFill="1"/>
    <xf numFmtId="0" fontId="9" fillId="0" borderId="0" xfId="2"/>
    <xf numFmtId="0" fontId="24" fillId="0" borderId="0" xfId="0" applyFont="1" applyAlignment="1">
      <alignment horizontal="right" wrapText="1"/>
    </xf>
    <xf numFmtId="0" fontId="25" fillId="0" borderId="0" xfId="0" applyFont="1" applyAlignment="1">
      <alignment horizontal="center" wrapText="1"/>
    </xf>
    <xf numFmtId="49" fontId="18" fillId="0" borderId="0" xfId="0" applyNumberFormat="1" applyFont="1" applyFill="1" applyAlignment="1">
      <alignment horizontal="left" vertical="center" wrapText="1"/>
    </xf>
    <xf numFmtId="166" fontId="18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1" fillId="0" borderId="0" xfId="2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0" fontId="18" fillId="0" borderId="1" xfId="0" applyFont="1" applyFill="1" applyBorder="1" applyAlignment="1">
      <alignment horizontal="left" wrapText="1"/>
    </xf>
    <xf numFmtId="166" fontId="18" fillId="0" borderId="1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wrapText="1"/>
    </xf>
    <xf numFmtId="167" fontId="11" fillId="0" borderId="0" xfId="0" applyNumberFormat="1" applyFont="1" applyAlignment="1">
      <alignment horizontal="right"/>
    </xf>
    <xf numFmtId="0" fontId="18" fillId="0" borderId="0" xfId="2" applyFont="1" applyAlignment="1">
      <alignment horizontal="left" wrapText="1"/>
    </xf>
    <xf numFmtId="164" fontId="18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2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1" xfId="0" applyFont="1" applyBorder="1" applyAlignment="1">
      <alignment horizontal="left" wrapText="1"/>
    </xf>
    <xf numFmtId="0" fontId="15" fillId="0" borderId="0" xfId="0" applyFont="1" applyAlignment="1">
      <alignment horizontal="center" wrapText="1"/>
    </xf>
    <xf numFmtId="164" fontId="18" fillId="0" borderId="5" xfId="0" applyNumberFormat="1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00"/>
  <sheetViews>
    <sheetView tabSelected="1" view="pageBreakPreview" topLeftCell="A386" zoomScaleNormal="100" zoomScaleSheetLayoutView="100" workbookViewId="0">
      <selection activeCell="A6" sqref="A6:K6"/>
    </sheetView>
  </sheetViews>
  <sheetFormatPr defaultRowHeight="12.75" x14ac:dyDescent="0.2"/>
  <cols>
    <col min="1" max="1" width="5.7109375" customWidth="1"/>
    <col min="2" max="2" width="11.7109375" customWidth="1"/>
    <col min="3" max="3" width="46.28515625" customWidth="1"/>
    <col min="4" max="6" width="11.7109375" customWidth="1"/>
    <col min="7" max="7" width="15.28515625" customWidth="1"/>
    <col min="8" max="8" width="10.7109375" customWidth="1"/>
    <col min="9" max="11" width="12.7109375" customWidth="1"/>
    <col min="15" max="37" width="0" hidden="1" customWidth="1"/>
    <col min="38" max="38" width="104.7109375" hidden="1" customWidth="1"/>
    <col min="39" max="42" width="0" hidden="1" customWidth="1"/>
  </cols>
  <sheetData>
    <row r="1" spans="1:11" x14ac:dyDescent="0.2">
      <c r="A1" s="9" t="str">
        <f>Source!B1</f>
        <v>Smeta.RU (Terminal)  (495) 974-1589</v>
      </c>
    </row>
    <row r="2" spans="1:11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 t="s">
        <v>468</v>
      </c>
    </row>
    <row r="3" spans="1:11" ht="45" customHeight="1" x14ac:dyDescent="0.25">
      <c r="A3" s="63" t="s">
        <v>507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x14ac:dyDescent="0.2">
      <c r="A4" s="64" t="s">
        <v>448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5.75" customHeight="1" x14ac:dyDescent="0.25">
      <c r="A6" s="63" t="s">
        <v>523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x14ac:dyDescent="0.2">
      <c r="A7" s="66" t="s">
        <v>449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18" hidden="1" x14ac:dyDescent="0.25">
      <c r="A9" s="67" t="str">
        <f>IF(Source!G20&lt;&gt;"Новая локальная смета", Source!G20, "")</f>
        <v/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14.25" hidden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14.25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ht="14.25" customHeight="1" x14ac:dyDescent="0.2">
      <c r="A12" s="58" t="s">
        <v>508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ht="14.25" x14ac:dyDescent="0.2">
      <c r="A13" s="10"/>
      <c r="B13" s="10"/>
      <c r="C13" s="10"/>
      <c r="D13" s="10"/>
      <c r="E13" s="10"/>
      <c r="F13" s="10"/>
      <c r="G13" s="10"/>
      <c r="H13" s="10"/>
      <c r="I13" s="50" t="s">
        <v>450</v>
      </c>
      <c r="J13" s="50" t="s">
        <v>451</v>
      </c>
      <c r="K13" s="10"/>
    </row>
    <row r="14" spans="1:11" ht="14.25" x14ac:dyDescent="0.2">
      <c r="A14" s="10"/>
      <c r="B14" s="10"/>
      <c r="C14" s="10"/>
      <c r="D14" s="10"/>
      <c r="E14" s="10"/>
      <c r="F14" s="69" t="s">
        <v>452</v>
      </c>
      <c r="G14" s="69"/>
      <c r="H14" s="69"/>
      <c r="I14" s="11">
        <f>SUM(O25:O367)/1000</f>
        <v>1129.1643900000001</v>
      </c>
      <c r="J14" s="11">
        <f>(Source!F356/1000)</f>
        <v>8451.6366600000001</v>
      </c>
      <c r="K14" s="10" t="s">
        <v>506</v>
      </c>
    </row>
    <row r="15" spans="1:11" ht="14.25" x14ac:dyDescent="0.2">
      <c r="A15" s="10"/>
      <c r="B15" s="10"/>
      <c r="C15" s="10"/>
      <c r="D15" s="10"/>
      <c r="E15" s="10"/>
      <c r="F15" s="69" t="s">
        <v>46</v>
      </c>
      <c r="G15" s="69"/>
      <c r="H15" s="69"/>
      <c r="I15" s="11">
        <f>SUM(X25:X367)/1000</f>
        <v>828.17988000000003</v>
      </c>
      <c r="J15" s="11">
        <f>(Source!F346)/1000</f>
        <v>7102.1943899999997</v>
      </c>
      <c r="K15" s="10" t="s">
        <v>506</v>
      </c>
    </row>
    <row r="16" spans="1:11" ht="14.25" x14ac:dyDescent="0.2">
      <c r="A16" s="10"/>
      <c r="B16" s="10"/>
      <c r="C16" s="10"/>
      <c r="D16" s="10"/>
      <c r="E16" s="10"/>
      <c r="F16" s="69" t="s">
        <v>453</v>
      </c>
      <c r="G16" s="69"/>
      <c r="H16" s="69"/>
      <c r="I16" s="11">
        <f>SUM(Y25:Y367)/1000</f>
        <v>0</v>
      </c>
      <c r="J16" s="11">
        <f>(Source!F347)/1000</f>
        <v>0</v>
      </c>
      <c r="K16" s="10" t="s">
        <v>506</v>
      </c>
    </row>
    <row r="17" spans="1:22" ht="14.25" x14ac:dyDescent="0.2">
      <c r="A17" s="10"/>
      <c r="B17" s="10"/>
      <c r="C17" s="10"/>
      <c r="D17" s="10"/>
      <c r="E17" s="10"/>
      <c r="F17" s="69" t="s">
        <v>454</v>
      </c>
      <c r="G17" s="69"/>
      <c r="H17" s="69"/>
      <c r="I17" s="11">
        <f>SUM(Z25:Z367)/1000</f>
        <v>222.58411999999998</v>
      </c>
      <c r="J17" s="11">
        <f>(Source!F338)/1000</f>
        <v>963.78923999999995</v>
      </c>
      <c r="K17" s="10" t="s">
        <v>506</v>
      </c>
    </row>
    <row r="18" spans="1:22" ht="14.25" x14ac:dyDescent="0.2">
      <c r="A18" s="10"/>
      <c r="B18" s="10"/>
      <c r="C18" s="10"/>
      <c r="D18" s="10"/>
      <c r="E18" s="10"/>
      <c r="F18" s="69" t="s">
        <v>298</v>
      </c>
      <c r="G18" s="69"/>
      <c r="H18" s="69"/>
      <c r="I18" s="11">
        <f>SUM(AA25:AA367)/1000</f>
        <v>78.400389999999987</v>
      </c>
      <c r="J18" s="11">
        <f>(Source!F348+Source!F349)/1000</f>
        <v>385.65303</v>
      </c>
      <c r="K18" s="10" t="s">
        <v>506</v>
      </c>
    </row>
    <row r="19" spans="1:22" ht="14.25" x14ac:dyDescent="0.2">
      <c r="A19" s="10"/>
      <c r="B19" s="10"/>
      <c r="C19" s="10"/>
      <c r="D19" s="10"/>
      <c r="E19" s="10"/>
      <c r="F19" s="69" t="s">
        <v>455</v>
      </c>
      <c r="G19" s="69"/>
      <c r="H19" s="69"/>
      <c r="I19" s="11">
        <f>SUM(W25:W367)/1000</f>
        <v>10.166919999999999</v>
      </c>
      <c r="J19" s="11">
        <f>(Source!F344+ Source!F343)/1000</f>
        <v>217.87707</v>
      </c>
      <c r="K19" s="10" t="s">
        <v>506</v>
      </c>
    </row>
    <row r="20" spans="1:22" ht="14.25" x14ac:dyDescent="0.2">
      <c r="A20" s="10"/>
      <c r="B20" s="10"/>
      <c r="C20" s="10"/>
      <c r="D20" s="10"/>
      <c r="E20" s="10"/>
      <c r="F20" s="12" t="s">
        <v>456</v>
      </c>
      <c r="G20" s="12"/>
      <c r="H20" s="12"/>
      <c r="I20" s="11"/>
      <c r="J20" s="11"/>
      <c r="K20" s="10"/>
    </row>
    <row r="21" spans="1:22" ht="14.25" x14ac:dyDescent="0.2">
      <c r="A21" s="10"/>
      <c r="B21" s="10"/>
      <c r="C21" s="10"/>
      <c r="D21" s="10"/>
      <c r="E21" s="10"/>
      <c r="F21" s="70" t="s">
        <v>113</v>
      </c>
      <c r="G21" s="71"/>
      <c r="H21" s="71"/>
      <c r="I21" s="11">
        <f>SUM(AE25:AE367)/1000</f>
        <v>14.146979999999999</v>
      </c>
      <c r="J21" s="11">
        <f>SUM(AF25:AF367)/1000</f>
        <v>87.286869999999993</v>
      </c>
      <c r="K21" s="10" t="s">
        <v>506</v>
      </c>
    </row>
    <row r="22" spans="1:22" ht="14.25" x14ac:dyDescent="0.2">
      <c r="A22" s="72" t="s">
        <v>469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</row>
    <row r="23" spans="1:22" ht="57" x14ac:dyDescent="0.2">
      <c r="A23" s="13" t="s">
        <v>457</v>
      </c>
      <c r="B23" s="13" t="s">
        <v>458</v>
      </c>
      <c r="C23" s="13" t="s">
        <v>459</v>
      </c>
      <c r="D23" s="13" t="s">
        <v>460</v>
      </c>
      <c r="E23" s="13" t="s">
        <v>461</v>
      </c>
      <c r="F23" s="13" t="s">
        <v>462</v>
      </c>
      <c r="G23" s="14" t="s">
        <v>463</v>
      </c>
      <c r="H23" s="14" t="s">
        <v>464</v>
      </c>
      <c r="I23" s="13" t="s">
        <v>465</v>
      </c>
      <c r="J23" s="13" t="s">
        <v>466</v>
      </c>
      <c r="K23" s="13" t="s">
        <v>467</v>
      </c>
    </row>
    <row r="24" spans="1:22" ht="14.25" x14ac:dyDescent="0.2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  <c r="J24" s="13">
        <v>10</v>
      </c>
      <c r="K24" s="13">
        <v>11</v>
      </c>
    </row>
    <row r="26" spans="1:22" ht="16.5" x14ac:dyDescent="0.25">
      <c r="A26" s="73" t="str">
        <f>CONCATENATE("Раздел: ",IF(Source!G24&lt;&gt;"Новый раздел", Source!G24, ""))</f>
        <v>Раздел: ТЕПЛОВАЯ СЕТЬ  2Ду125 в ППУ-ПЭ бесканальная прокладка - 19.1м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</row>
    <row r="27" spans="1:22" ht="98.25" x14ac:dyDescent="0.2">
      <c r="A27" s="15" t="str">
        <f>Source!E28</f>
        <v>1</v>
      </c>
      <c r="B27" s="16" t="str">
        <f>Source!F28</f>
        <v>16.1-3001-1</v>
      </c>
      <c r="C27" s="16" t="s">
        <v>470</v>
      </c>
      <c r="D27" s="18" t="str">
        <f>Source!H28</f>
        <v>1 м трубопровода</v>
      </c>
      <c r="E27" s="17">
        <f>Source!I28</f>
        <v>19.100000000000001</v>
      </c>
      <c r="F27" s="20"/>
      <c r="G27" s="19"/>
      <c r="H27" s="17"/>
      <c r="I27" s="21"/>
      <c r="J27" s="17"/>
      <c r="K27" s="21"/>
      <c r="Q27">
        <f>ROUND((Source!DN28/100)*ROUND((ROUND((Source!AF28*Source!AV28*Source!I28),2)),2), 2)</f>
        <v>0</v>
      </c>
      <c r="R27">
        <f>Source!X28</f>
        <v>0</v>
      </c>
      <c r="S27">
        <f>ROUND((Source!DO28/100)*ROUND((ROUND((Source!AF28*Source!AV28*Source!I28),2)),2), 2)</f>
        <v>0</v>
      </c>
      <c r="T27">
        <f>Source!Y28</f>
        <v>0</v>
      </c>
      <c r="U27">
        <f>ROUND((175/100)*ROUND((ROUND((Source!AE28*Source!AV28*Source!I28),2)),2), 2)</f>
        <v>0</v>
      </c>
      <c r="V27">
        <f>ROUND((157/100)*ROUND(ROUND((ROUND((Source!AE28*Source!AV28*Source!I28),2)*Source!BS28),2), 2), 2)</f>
        <v>0</v>
      </c>
    </row>
    <row r="28" spans="1:22" ht="14.25" x14ac:dyDescent="0.2">
      <c r="A28" s="15"/>
      <c r="B28" s="16"/>
      <c r="C28" s="16" t="s">
        <v>471</v>
      </c>
      <c r="D28" s="18"/>
      <c r="E28" s="17"/>
      <c r="F28" s="20"/>
      <c r="G28" s="19"/>
      <c r="H28" s="17"/>
      <c r="I28" s="21">
        <f>I29+I30+I31+I32+SUM(I33:I34)</f>
        <v>79624.17</v>
      </c>
      <c r="J28" s="17"/>
      <c r="K28" s="21">
        <f>K29+K30+K31+K32+SUM(K33:K34)</f>
        <v>453141.97</v>
      </c>
    </row>
    <row r="29" spans="1:22" ht="14.25" x14ac:dyDescent="0.2">
      <c r="A29" s="15"/>
      <c r="B29" s="16"/>
      <c r="C29" s="16" t="s">
        <v>472</v>
      </c>
      <c r="D29" s="18"/>
      <c r="E29" s="17"/>
      <c r="F29" s="20">
        <f>Source!AO28</f>
        <v>509</v>
      </c>
      <c r="G29" s="19" t="str">
        <f>Source!DG28</f>
        <v>*1,15*0,92</v>
      </c>
      <c r="H29" s="17">
        <f>Source!AV28</f>
        <v>1</v>
      </c>
      <c r="I29" s="21">
        <f>ROUND((ROUND((Source!AF28*Source!AV28*Source!I28),2)),2)</f>
        <v>10285.77</v>
      </c>
      <c r="J29" s="17">
        <f>IF(Source!BA28&lt;&gt; 0, Source!BA28, 1)</f>
        <v>16.829999999999998</v>
      </c>
      <c r="K29" s="21">
        <f>Source!GZ28</f>
        <v>173109.51</v>
      </c>
    </row>
    <row r="30" spans="1:22" ht="14.25" x14ac:dyDescent="0.2">
      <c r="A30" s="15"/>
      <c r="B30" s="16"/>
      <c r="C30" s="16" t="s">
        <v>473</v>
      </c>
      <c r="D30" s="18"/>
      <c r="E30" s="17"/>
      <c r="F30" s="20">
        <f>Source!AM28</f>
        <v>167</v>
      </c>
      <c r="G30" s="19" t="str">
        <f>Source!DE28</f>
        <v>*1,15*0,86</v>
      </c>
      <c r="H30" s="17">
        <f>Source!AV28</f>
        <v>1</v>
      </c>
      <c r="I30" s="21">
        <f>(ROUND((ROUND((((Source!ET28*1.15*0.86))*Source!AV28*Source!I28),2)),2)+ROUND((ROUND(((Source!AE28-((Source!EU28*1.15*0.86)))*Source!AV28*Source!I28),2)),2))</f>
        <v>3154.61</v>
      </c>
      <c r="J30" s="17">
        <f>IF(Source!BB28&lt;&gt; 0, Source!BB28, 1)</f>
        <v>9.74</v>
      </c>
      <c r="K30" s="21">
        <f>Source!GY28</f>
        <v>30725.9</v>
      </c>
    </row>
    <row r="31" spans="1:22" ht="14.25" x14ac:dyDescent="0.2">
      <c r="A31" s="15"/>
      <c r="B31" s="16"/>
      <c r="C31" s="16" t="s">
        <v>474</v>
      </c>
      <c r="D31" s="18"/>
      <c r="E31" s="17"/>
      <c r="F31" s="20">
        <f>Source!AL28</f>
        <v>4404</v>
      </c>
      <c r="G31" s="19" t="str">
        <f>Source!DD28</f>
        <v>*0,78</v>
      </c>
      <c r="H31" s="17">
        <f>Source!AW28</f>
        <v>1</v>
      </c>
      <c r="I31" s="21">
        <f>ROUND((ROUND((Source!AC28*Source!AW28*Source!I28),2)),2)</f>
        <v>65610.789999999994</v>
      </c>
      <c r="J31" s="17">
        <f>IF(Source!BC28&lt;&gt; 0, Source!BC28, 1)</f>
        <v>3.75</v>
      </c>
      <c r="K31" s="21">
        <f>Source!P28</f>
        <v>246040.46</v>
      </c>
    </row>
    <row r="32" spans="1:22" ht="14.25" x14ac:dyDescent="0.2">
      <c r="A32" s="15"/>
      <c r="B32" s="16"/>
      <c r="C32" s="16" t="s">
        <v>475</v>
      </c>
      <c r="D32" s="18"/>
      <c r="E32" s="17"/>
      <c r="F32" s="20">
        <f>Source!GT28</f>
        <v>30</v>
      </c>
      <c r="G32" s="19" t="str">
        <f>Source!GU28</f>
        <v/>
      </c>
      <c r="H32" s="17"/>
      <c r="I32" s="21">
        <f>ROUND(Source!GV28*Source!I28, 2)</f>
        <v>573</v>
      </c>
      <c r="J32" s="17">
        <f>IF(Source!GW28&lt;&gt; 0, Source!GW28, 1)</f>
        <v>5.7</v>
      </c>
      <c r="K32" s="21">
        <f>Source!GX28</f>
        <v>3266.1</v>
      </c>
    </row>
    <row r="33" spans="1:30" ht="28.5" x14ac:dyDescent="0.2">
      <c r="A33" s="15" t="str">
        <f>Source!E29</f>
        <v>1,1</v>
      </c>
      <c r="B33" s="16" t="str">
        <f>Source!F29</f>
        <v>9999990001</v>
      </c>
      <c r="C33" s="16" t="s">
        <v>28</v>
      </c>
      <c r="D33" s="18" t="str">
        <f>Source!H29</f>
        <v>т</v>
      </c>
      <c r="E33" s="17">
        <f>Source!I29</f>
        <v>2.0860000000000002E-3</v>
      </c>
      <c r="F33" s="20">
        <f>Source!AK29</f>
        <v>0</v>
      </c>
      <c r="G33" s="22" t="s">
        <v>476</v>
      </c>
      <c r="H33" s="17">
        <f>Source!AW29</f>
        <v>1</v>
      </c>
      <c r="I33" s="21">
        <f>ROUND((ROUND((Source!AC29*Source!AW29*Source!I29),2)),2)+(ROUND((ROUND(((Source!ET29)*Source!AV29*Source!I29),2)),2)+ROUND((ROUND(((Source!AE29-(Source!EU29))*Source!AV29*Source!I29),2)),2))+ROUND((ROUND((Source!AF29*Source!AV29*Source!I29),2)),2)</f>
        <v>0</v>
      </c>
      <c r="J33" s="17">
        <f>IF(Source!BC29&lt;&gt; 0, Source!BC29, 1)</f>
        <v>1</v>
      </c>
      <c r="K33" s="21">
        <f>Source!O29</f>
        <v>0</v>
      </c>
      <c r="Q33">
        <f>ROUND((Source!DN29/100)*ROUND((ROUND((Source!AF29*Source!AV29*Source!I29),2)),2), 2)</f>
        <v>0</v>
      </c>
      <c r="R33">
        <f>Source!X29</f>
        <v>0</v>
      </c>
      <c r="S33">
        <f>ROUND((Source!DO29/100)*ROUND((ROUND((Source!AF29*Source!AV29*Source!I29),2)),2), 2)</f>
        <v>0</v>
      </c>
      <c r="T33">
        <f>Source!Y29</f>
        <v>0</v>
      </c>
      <c r="U33">
        <f>ROUND((175/100)*ROUND((ROUND((Source!AE29*Source!AV29*Source!I29),2)),2), 2)</f>
        <v>0</v>
      </c>
      <c r="V33">
        <f>ROUND((157/100)*ROUND(ROUND((ROUND((Source!AE29*Source!AV29*Source!I29),2)*Source!BS29),2), 2), 2)</f>
        <v>0</v>
      </c>
      <c r="X33">
        <f>IF(Source!BI29&lt;=1,I33, 0)</f>
        <v>0</v>
      </c>
      <c r="Y33">
        <f>IF(Source!BI29=2,I33, 0)</f>
        <v>0</v>
      </c>
      <c r="Z33">
        <f>IF(Source!BI29=3,I33, 0)</f>
        <v>0</v>
      </c>
      <c r="AA33">
        <f>IF(Source!BI29=4,I33, 0)</f>
        <v>0</v>
      </c>
    </row>
    <row r="34" spans="1:30" ht="28.5" x14ac:dyDescent="0.2">
      <c r="A34" s="15" t="str">
        <f>Source!E30</f>
        <v>1,2</v>
      </c>
      <c r="B34" s="16" t="str">
        <f>Source!F30</f>
        <v>9999990004</v>
      </c>
      <c r="C34" s="16" t="s">
        <v>32</v>
      </c>
      <c r="D34" s="18" t="str">
        <f>Source!H30</f>
        <v>м3</v>
      </c>
      <c r="E34" s="17">
        <f>Source!I30</f>
        <v>13.047668</v>
      </c>
      <c r="F34" s="20">
        <f>Source!AK30</f>
        <v>0</v>
      </c>
      <c r="G34" s="22" t="s">
        <v>476</v>
      </c>
      <c r="H34" s="17">
        <f>Source!AW30</f>
        <v>1</v>
      </c>
      <c r="I34" s="21">
        <f>ROUND((ROUND((Source!AC30*Source!AW30*Source!I30),2)),2)+(ROUND((ROUND(((Source!ET30)*Source!AV30*Source!I30),2)),2)+ROUND((ROUND(((Source!AE30-(Source!EU30))*Source!AV30*Source!I30),2)),2))+ROUND((ROUND((Source!AF30*Source!AV30*Source!I30),2)),2)</f>
        <v>0</v>
      </c>
      <c r="J34" s="17">
        <f>IF(Source!BC30&lt;&gt; 0, Source!BC30, 1)</f>
        <v>1</v>
      </c>
      <c r="K34" s="21">
        <f>Source!O30</f>
        <v>0</v>
      </c>
      <c r="Q34">
        <f>ROUND((Source!DN30/100)*ROUND((ROUND((Source!AF30*Source!AV30*Source!I30),2)),2), 2)</f>
        <v>0</v>
      </c>
      <c r="R34">
        <f>Source!X30</f>
        <v>0</v>
      </c>
      <c r="S34">
        <f>ROUND((Source!DO30/100)*ROUND((ROUND((Source!AF30*Source!AV30*Source!I30),2)),2), 2)</f>
        <v>0</v>
      </c>
      <c r="T34">
        <f>Source!Y30</f>
        <v>0</v>
      </c>
      <c r="U34">
        <f>ROUND((175/100)*ROUND((ROUND((Source!AE30*Source!AV30*Source!I30),2)),2), 2)</f>
        <v>0</v>
      </c>
      <c r="V34">
        <f>ROUND((157/100)*ROUND(ROUND((ROUND((Source!AE30*Source!AV30*Source!I30),2)*Source!BS30),2), 2), 2)</f>
        <v>0</v>
      </c>
      <c r="X34">
        <f>IF(Source!BI30&lt;=1,I34, 0)</f>
        <v>0</v>
      </c>
      <c r="Y34">
        <f>IF(Source!BI30=2,I34, 0)</f>
        <v>0</v>
      </c>
      <c r="Z34">
        <f>IF(Source!BI30=3,I34, 0)</f>
        <v>0</v>
      </c>
      <c r="AA34">
        <f>IF(Source!BI30=4,I34, 0)</f>
        <v>0</v>
      </c>
    </row>
    <row r="35" spans="1:30" ht="14.25" x14ac:dyDescent="0.2">
      <c r="A35" s="23"/>
      <c r="B35" s="24"/>
      <c r="C35" s="24" t="s">
        <v>477</v>
      </c>
      <c r="D35" s="18"/>
      <c r="E35" s="25"/>
      <c r="F35" s="26">
        <f>Source!HA28</f>
        <v>0.87580000000000002</v>
      </c>
      <c r="G35" s="18"/>
      <c r="H35" s="25"/>
      <c r="I35" s="27"/>
      <c r="J35" s="25"/>
      <c r="K35" s="26">
        <f>Source!HA28*Source!I28</f>
        <v>16.727780000000003</v>
      </c>
    </row>
    <row r="36" spans="1:30" ht="14.25" x14ac:dyDescent="0.2">
      <c r="A36" s="23"/>
      <c r="B36" s="24"/>
      <c r="C36" s="24" t="s">
        <v>478</v>
      </c>
      <c r="D36" s="18"/>
      <c r="E36" s="25"/>
      <c r="F36" s="26">
        <f>Source!HB28</f>
        <v>1.3999999999999999E-4</v>
      </c>
      <c r="G36" s="18"/>
      <c r="H36" s="25"/>
      <c r="I36" s="27"/>
      <c r="J36" s="25"/>
      <c r="K36" s="26">
        <f>Source!HB28*Source!I28</f>
        <v>2.6740000000000002E-3</v>
      </c>
    </row>
    <row r="37" spans="1:30" ht="15" x14ac:dyDescent="0.25">
      <c r="A37" s="30"/>
      <c r="B37" s="30"/>
      <c r="C37" s="30"/>
      <c r="D37" s="30"/>
      <c r="E37" s="30"/>
      <c r="F37" s="30"/>
      <c r="G37" s="30"/>
      <c r="H37" s="74">
        <f>I29+I30+I31+I32+SUM(I33:I34)</f>
        <v>79624.17</v>
      </c>
      <c r="I37" s="74"/>
      <c r="J37" s="74">
        <f>K29+K30+K31+K32+SUM(K33:K34)</f>
        <v>453141.97</v>
      </c>
      <c r="K37" s="74"/>
      <c r="O37" s="28">
        <f>I29+I30+I31+I32+SUM(I33:I34)</f>
        <v>79624.17</v>
      </c>
      <c r="P37" s="28">
        <f>K29+K30+K31+K32+SUM(K33:K34)</f>
        <v>453141.97</v>
      </c>
      <c r="X37">
        <f>IF(Source!BI28&lt;=1,I29+I30+I31+I32-I32, 0)</f>
        <v>79051.17</v>
      </c>
      <c r="Y37">
        <f>IF(Source!BI28=2,I29+I30+I31+I32-I32, 0)</f>
        <v>0</v>
      </c>
      <c r="Z37">
        <f>IF(Source!BI28=3,I29+I30+I31+I32-I32, 0)</f>
        <v>0</v>
      </c>
      <c r="AA37">
        <f>IF(Source!BI28=4,I29+I30+I31+I32,I32)</f>
        <v>573</v>
      </c>
      <c r="AC37" s="28">
        <f>I29+I30+I31+I32+SUM(I33:I34)</f>
        <v>79624.17</v>
      </c>
      <c r="AD37" s="28">
        <f>K29+K30+K31+K32+SUM(K33:K34)</f>
        <v>453141.97</v>
      </c>
    </row>
    <row r="38" spans="1:30" ht="42.75" x14ac:dyDescent="0.2">
      <c r="A38" s="15" t="str">
        <f>Source!E31</f>
        <v>2</v>
      </c>
      <c r="B38" s="16" t="str">
        <f>Source!F31</f>
        <v>16.3-14-1</v>
      </c>
      <c r="C38" s="16" t="s">
        <v>36</v>
      </c>
      <c r="D38" s="18" t="str">
        <f>Source!H31</f>
        <v>1 м2</v>
      </c>
      <c r="E38" s="17">
        <f>Source!I31</f>
        <v>191</v>
      </c>
      <c r="F38" s="20"/>
      <c r="G38" s="19"/>
      <c r="H38" s="17"/>
      <c r="I38" s="21"/>
      <c r="J38" s="17"/>
      <c r="K38" s="21"/>
      <c r="Q38">
        <f>ROUND((Source!DN31/100)*ROUND((ROUND((Source!AF31*Source!AV31*Source!I31),2)),2), 2)</f>
        <v>0</v>
      </c>
      <c r="R38">
        <f>Source!X31</f>
        <v>0</v>
      </c>
      <c r="S38">
        <f>ROUND((Source!DO31/100)*ROUND((ROUND((Source!AF31*Source!AV31*Source!I31),2)),2), 2)</f>
        <v>0</v>
      </c>
      <c r="T38">
        <f>Source!Y31</f>
        <v>0</v>
      </c>
      <c r="U38">
        <f>ROUND((175/100)*ROUND((ROUND((Source!AE31*Source!AV31*Source!I31),2)),2), 2)</f>
        <v>0</v>
      </c>
      <c r="V38">
        <f>ROUND((157/100)*ROUND(ROUND((ROUND((Source!AE31*Source!AV31*Source!I31),2)*Source!BS31),2), 2), 2)</f>
        <v>0</v>
      </c>
    </row>
    <row r="39" spans="1:30" x14ac:dyDescent="0.2">
      <c r="C39" s="31" t="str">
        <f>"Объем: "&amp;Source!I31&amp;"="&amp;Source!I28&amp;"*"&amp;"10"</f>
        <v>Объем: 191=19,1*10</v>
      </c>
    </row>
    <row r="40" spans="1:30" ht="14.25" x14ac:dyDescent="0.2">
      <c r="A40" s="15"/>
      <c r="B40" s="16"/>
      <c r="C40" s="16" t="s">
        <v>471</v>
      </c>
      <c r="D40" s="18"/>
      <c r="E40" s="17"/>
      <c r="F40" s="20"/>
      <c r="G40" s="19"/>
      <c r="H40" s="17"/>
      <c r="I40" s="21">
        <f>I41+I42+I43+SUM(I44:I44)</f>
        <v>28774.15</v>
      </c>
      <c r="J40" s="17"/>
      <c r="K40" s="21">
        <f>K41+K42+K43+SUM(K44:K44)</f>
        <v>330002.17</v>
      </c>
    </row>
    <row r="41" spans="1:30" ht="14.25" x14ac:dyDescent="0.2">
      <c r="A41" s="15"/>
      <c r="B41" s="16"/>
      <c r="C41" s="16" t="s">
        <v>472</v>
      </c>
      <c r="D41" s="18"/>
      <c r="E41" s="17"/>
      <c r="F41" s="20">
        <f>Source!AO31</f>
        <v>41</v>
      </c>
      <c r="G41" s="19" t="str">
        <f>Source!DG31</f>
        <v>*1,15</v>
      </c>
      <c r="H41" s="17">
        <f>Source!AV31</f>
        <v>1</v>
      </c>
      <c r="I41" s="21">
        <f>ROUND((ROUND((Source!AF31*Source!AV31*Source!I31),2)),2)</f>
        <v>9005.65</v>
      </c>
      <c r="J41" s="17">
        <f>IF(Source!BA31&lt;&gt; 0, Source!BA31, 1)</f>
        <v>18.899999999999999</v>
      </c>
      <c r="K41" s="21">
        <f>Source!GZ31</f>
        <v>170206.79</v>
      </c>
    </row>
    <row r="42" spans="1:30" ht="14.25" x14ac:dyDescent="0.2">
      <c r="A42" s="15"/>
      <c r="B42" s="16"/>
      <c r="C42" s="16" t="s">
        <v>473</v>
      </c>
      <c r="D42" s="18"/>
      <c r="E42" s="17"/>
      <c r="F42" s="20">
        <f>Source!AM31</f>
        <v>30</v>
      </c>
      <c r="G42" s="19" t="str">
        <f>Source!DE31</f>
        <v>*1,15</v>
      </c>
      <c r="H42" s="17">
        <f>Source!AV31</f>
        <v>1</v>
      </c>
      <c r="I42" s="21">
        <f>(ROUND((ROUND((((Source!ET31*1.15))*Source!AV31*Source!I31),2)),2)+ROUND((ROUND(((Source!AE31-((Source!EU31*1.15)))*Source!AV31*Source!I31),2)),2))</f>
        <v>6589.5</v>
      </c>
      <c r="J42" s="17">
        <f>IF(Source!BB31&lt;&gt; 0, Source!BB31, 1)</f>
        <v>7.73</v>
      </c>
      <c r="K42" s="21">
        <f>Source!GY31</f>
        <v>50936.84</v>
      </c>
    </row>
    <row r="43" spans="1:30" ht="14.25" x14ac:dyDescent="0.2">
      <c r="A43" s="15"/>
      <c r="B43" s="16"/>
      <c r="C43" s="16" t="s">
        <v>474</v>
      </c>
      <c r="D43" s="18"/>
      <c r="E43" s="17"/>
      <c r="F43" s="20">
        <f>Source!AL31</f>
        <v>69</v>
      </c>
      <c r="G43" s="19" t="str">
        <f>Source!DD31</f>
        <v/>
      </c>
      <c r="H43" s="17">
        <f>Source!AW31</f>
        <v>1</v>
      </c>
      <c r="I43" s="21">
        <f>ROUND((ROUND((Source!AC31*Source!AW31*Source!I31),2)),2)</f>
        <v>13179</v>
      </c>
      <c r="J43" s="17">
        <f>IF(Source!BC31&lt;&gt; 0, Source!BC31, 1)</f>
        <v>8.26</v>
      </c>
      <c r="K43" s="21">
        <f>Source!P31</f>
        <v>108858.54</v>
      </c>
    </row>
    <row r="44" spans="1:30" ht="28.5" x14ac:dyDescent="0.2">
      <c r="A44" s="15" t="str">
        <f>Source!E32</f>
        <v>2,1</v>
      </c>
      <c r="B44" s="16" t="str">
        <f>Source!F32</f>
        <v>9999990004</v>
      </c>
      <c r="C44" s="16" t="s">
        <v>32</v>
      </c>
      <c r="D44" s="18" t="str">
        <f>Source!H32</f>
        <v>м3</v>
      </c>
      <c r="E44" s="17">
        <f>Source!I32</f>
        <v>38.200000000000003</v>
      </c>
      <c r="F44" s="20">
        <f>Source!AK32</f>
        <v>0</v>
      </c>
      <c r="G44" s="22" t="s">
        <v>3</v>
      </c>
      <c r="H44" s="17">
        <f>Source!AW32</f>
        <v>1</v>
      </c>
      <c r="I44" s="21">
        <f>ROUND((ROUND((Source!AC32*Source!AW32*Source!I32),2)),2)+(ROUND((ROUND(((Source!ET32)*Source!AV32*Source!I32),2)),2)+ROUND((ROUND(((Source!AE32-(Source!EU32))*Source!AV32*Source!I32),2)),2))+ROUND((ROUND((Source!AF32*Source!AV32*Source!I32),2)),2)</f>
        <v>0</v>
      </c>
      <c r="J44" s="17">
        <f>IF(Source!BC32&lt;&gt; 0, Source!BC32, 1)</f>
        <v>1</v>
      </c>
      <c r="K44" s="21">
        <f>Source!O32</f>
        <v>0</v>
      </c>
      <c r="Q44">
        <f>ROUND((Source!DN32/100)*ROUND((ROUND((Source!AF32*Source!AV32*Source!I32),2)),2), 2)</f>
        <v>0</v>
      </c>
      <c r="R44">
        <f>Source!X32</f>
        <v>0</v>
      </c>
      <c r="S44">
        <f>ROUND((Source!DO32/100)*ROUND((ROUND((Source!AF32*Source!AV32*Source!I32),2)),2), 2)</f>
        <v>0</v>
      </c>
      <c r="T44">
        <f>Source!Y32</f>
        <v>0</v>
      </c>
      <c r="U44">
        <f>ROUND((175/100)*ROUND((ROUND((Source!AE32*Source!AV32*Source!I32),2)),2), 2)</f>
        <v>0</v>
      </c>
      <c r="V44">
        <f>ROUND((157/100)*ROUND(ROUND((ROUND((Source!AE32*Source!AV32*Source!I32),2)*Source!BS32),2), 2), 2)</f>
        <v>0</v>
      </c>
      <c r="X44">
        <f>IF(Source!BI32&lt;=1,I44, 0)</f>
        <v>0</v>
      </c>
      <c r="Y44">
        <f>IF(Source!BI32=2,I44, 0)</f>
        <v>0</v>
      </c>
      <c r="Z44">
        <f>IF(Source!BI32=3,I44, 0)</f>
        <v>0</v>
      </c>
      <c r="AA44">
        <f>IF(Source!BI32=4,I44, 0)</f>
        <v>0</v>
      </c>
    </row>
    <row r="45" spans="1:30" ht="14.25" x14ac:dyDescent="0.2">
      <c r="A45" s="23"/>
      <c r="B45" s="24"/>
      <c r="C45" s="24" t="s">
        <v>477</v>
      </c>
      <c r="D45" s="18"/>
      <c r="E45" s="25"/>
      <c r="F45" s="26">
        <f>Source!HA31</f>
        <v>0.2</v>
      </c>
      <c r="G45" s="18"/>
      <c r="H45" s="25"/>
      <c r="I45" s="27"/>
      <c r="J45" s="25"/>
      <c r="K45" s="26">
        <f>Source!HA31*Source!I31</f>
        <v>38.200000000000003</v>
      </c>
    </row>
    <row r="46" spans="1:30" ht="15" x14ac:dyDescent="0.25">
      <c r="A46" s="30"/>
      <c r="B46" s="30"/>
      <c r="C46" s="30"/>
      <c r="D46" s="30"/>
      <c r="E46" s="30"/>
      <c r="F46" s="30"/>
      <c r="G46" s="30"/>
      <c r="H46" s="74">
        <f>I41+I42+I43+SUM(I44:I44)</f>
        <v>28774.15</v>
      </c>
      <c r="I46" s="74"/>
      <c r="J46" s="74">
        <f>K41+K42+K43+SUM(K44:K44)</f>
        <v>330002.17</v>
      </c>
      <c r="K46" s="74"/>
      <c r="O46" s="28">
        <f>I41+I42+I43+SUM(I44:I44)</f>
        <v>28774.15</v>
      </c>
      <c r="P46" s="28">
        <f>K41+K42+K43+SUM(K44:K44)</f>
        <v>330002.17</v>
      </c>
      <c r="X46">
        <f>IF(Source!BI31&lt;=1,I41+I42+I43-0, 0)</f>
        <v>28774.15</v>
      </c>
      <c r="Y46">
        <f>IF(Source!BI31=2,I41+I42+I43-0, 0)</f>
        <v>0</v>
      </c>
      <c r="Z46">
        <f>IF(Source!BI31=3,I41+I42+I43-0, 0)</f>
        <v>0</v>
      </c>
      <c r="AA46">
        <f>IF(Source!BI31=4,I41+I42+I43,0)</f>
        <v>0</v>
      </c>
      <c r="AC46" s="28">
        <f>I41+I42+I43+SUM(I44:I44)</f>
        <v>28774.15</v>
      </c>
      <c r="AD46" s="28">
        <f>K41+K42+K43+SUM(K44:K44)</f>
        <v>330002.17</v>
      </c>
    </row>
    <row r="47" spans="1:30" ht="57" x14ac:dyDescent="0.2">
      <c r="A47" s="15" t="str">
        <f>Source!E33</f>
        <v>3</v>
      </c>
      <c r="B47" s="16" t="str">
        <f>Source!F33</f>
        <v>3.1-6-10</v>
      </c>
      <c r="C47" s="16" t="s">
        <v>43</v>
      </c>
      <c r="D47" s="18" t="str">
        <f>Source!H33</f>
        <v>100 м3 грунта</v>
      </c>
      <c r="E47" s="17">
        <f>Source!I33</f>
        <v>0.51249999999999996</v>
      </c>
      <c r="F47" s="20"/>
      <c r="G47" s="19"/>
      <c r="H47" s="17"/>
      <c r="I47" s="21"/>
      <c r="J47" s="17"/>
      <c r="K47" s="21"/>
      <c r="Q47">
        <f>ROUND((Source!DN33/100)*ROUND((ROUND((Source!AF33*Source!AV33*Source!I33),2)),2), 2)</f>
        <v>8.44</v>
      </c>
      <c r="R47">
        <f>Source!X33</f>
        <v>169.75</v>
      </c>
      <c r="S47">
        <f>ROUND((Source!DO33/100)*ROUND((ROUND((Source!AF33*Source!AV33*Source!I33),2)),2), 2)</f>
        <v>6.63</v>
      </c>
      <c r="T47">
        <f>Source!Y33</f>
        <v>92.26</v>
      </c>
      <c r="U47">
        <f>ROUND((175/100)*ROUND((ROUND((Source!AE33*Source!AV33*Source!I33),2)),2), 2)</f>
        <v>150.19</v>
      </c>
      <c r="V47">
        <f>ROUND((157/100)*ROUND(ROUND((ROUND((Source!AE33*Source!AV33*Source!I33),2)*Source!BS33),2), 2), 2)</f>
        <v>2887.42</v>
      </c>
    </row>
    <row r="48" spans="1:30" x14ac:dyDescent="0.2">
      <c r="C48" s="31" t="str">
        <f>"Объем: "&amp;Source!I33&amp;"=("&amp;Source!I30&amp;"+"&amp;""&amp;Source!I32&amp;")/"&amp;"100"</f>
        <v>Объем: 0,5125=(13,047668+38,2)/100</v>
      </c>
    </row>
    <row r="49" spans="1:27" ht="14.25" x14ac:dyDescent="0.2">
      <c r="A49" s="15"/>
      <c r="B49" s="16"/>
      <c r="C49" s="16" t="s">
        <v>479</v>
      </c>
      <c r="D49" s="18"/>
      <c r="E49" s="17"/>
      <c r="F49" s="20">
        <f>Source!AO33</f>
        <v>14.1</v>
      </c>
      <c r="G49" s="19" t="str">
        <f>Source!DG33</f>
        <v/>
      </c>
      <c r="H49" s="17">
        <f>Source!AV33</f>
        <v>1.1919999999999999</v>
      </c>
      <c r="I49" s="21">
        <f>ROUND((ROUND((Source!AF33*Source!AV33*Source!I33),2)),2)</f>
        <v>8.61</v>
      </c>
      <c r="J49" s="17">
        <f>IF(Source!BA33&lt;&gt; 0, Source!BA33, 1)</f>
        <v>21.43</v>
      </c>
      <c r="K49" s="21">
        <f>Source!S33</f>
        <v>184.51</v>
      </c>
      <c r="W49">
        <f>I49</f>
        <v>8.61</v>
      </c>
    </row>
    <row r="50" spans="1:27" ht="14.25" x14ac:dyDescent="0.2">
      <c r="A50" s="15"/>
      <c r="B50" s="16"/>
      <c r="C50" s="16" t="s">
        <v>480</v>
      </c>
      <c r="D50" s="18"/>
      <c r="E50" s="17"/>
      <c r="F50" s="20">
        <f>Source!AM33</f>
        <v>757.55</v>
      </c>
      <c r="G50" s="19" t="str">
        <f>Source!DE33</f>
        <v/>
      </c>
      <c r="H50" s="17">
        <f>Source!AV33</f>
        <v>1.1919999999999999</v>
      </c>
      <c r="I50" s="21">
        <f>(ROUND((ROUND(((Source!ET33)*Source!AV33*Source!I33),2)),2)+ROUND((ROUND(((Source!AE33-(Source!EU33))*Source!AV33*Source!I33),2)),2))</f>
        <v>462.79</v>
      </c>
      <c r="J50" s="17">
        <f>IF(Source!BB33&lt;&gt; 0, Source!BB33, 1)</f>
        <v>8.94</v>
      </c>
      <c r="K50" s="21">
        <f>Source!Q33</f>
        <v>4137.34</v>
      </c>
    </row>
    <row r="51" spans="1:27" ht="14.25" x14ac:dyDescent="0.2">
      <c r="A51" s="15"/>
      <c r="B51" s="16"/>
      <c r="C51" s="16" t="s">
        <v>481</v>
      </c>
      <c r="D51" s="18"/>
      <c r="E51" s="17"/>
      <c r="F51" s="20">
        <f>Source!AN33</f>
        <v>140.47999999999999</v>
      </c>
      <c r="G51" s="19" t="str">
        <f>Source!DF33</f>
        <v/>
      </c>
      <c r="H51" s="17">
        <f>Source!AV33</f>
        <v>1.1919999999999999</v>
      </c>
      <c r="I51" s="27">
        <f>ROUND((ROUND((Source!AE33*Source!AV33*Source!I33),2)),2)</f>
        <v>85.82</v>
      </c>
      <c r="J51" s="17">
        <f>IF(Source!BS33&lt;&gt; 0, Source!BS33, 1)</f>
        <v>21.43</v>
      </c>
      <c r="K51" s="27">
        <f>Source!R33</f>
        <v>1839.12</v>
      </c>
      <c r="W51">
        <f>I51</f>
        <v>85.82</v>
      </c>
    </row>
    <row r="52" spans="1:27" ht="14.25" x14ac:dyDescent="0.2">
      <c r="A52" s="15"/>
      <c r="B52" s="16"/>
      <c r="C52" s="16" t="s">
        <v>482</v>
      </c>
      <c r="D52" s="18" t="s">
        <v>483</v>
      </c>
      <c r="E52" s="17">
        <f>Source!DN33</f>
        <v>98</v>
      </c>
      <c r="F52" s="20"/>
      <c r="G52" s="19"/>
      <c r="H52" s="17"/>
      <c r="I52" s="21">
        <f>SUM(Q47:Q51)</f>
        <v>8.44</v>
      </c>
      <c r="J52" s="17">
        <f>Source!BZ33</f>
        <v>92</v>
      </c>
      <c r="K52" s="21">
        <f>SUM(R47:R51)</f>
        <v>169.75</v>
      </c>
    </row>
    <row r="53" spans="1:27" ht="14.25" x14ac:dyDescent="0.2">
      <c r="A53" s="15"/>
      <c r="B53" s="16"/>
      <c r="C53" s="16" t="s">
        <v>484</v>
      </c>
      <c r="D53" s="18" t="s">
        <v>483</v>
      </c>
      <c r="E53" s="17">
        <f>Source!DO33</f>
        <v>77</v>
      </c>
      <c r="F53" s="20"/>
      <c r="G53" s="19"/>
      <c r="H53" s="17"/>
      <c r="I53" s="21">
        <f>SUM(S47:S52)</f>
        <v>6.63</v>
      </c>
      <c r="J53" s="17">
        <f>Source!CA33</f>
        <v>50</v>
      </c>
      <c r="K53" s="21">
        <f>SUM(T47:T52)</f>
        <v>92.26</v>
      </c>
    </row>
    <row r="54" spans="1:27" ht="14.25" x14ac:dyDescent="0.2">
      <c r="A54" s="15"/>
      <c r="B54" s="16"/>
      <c r="C54" s="16" t="s">
        <v>485</v>
      </c>
      <c r="D54" s="18" t="s">
        <v>483</v>
      </c>
      <c r="E54" s="17">
        <f>175</f>
        <v>175</v>
      </c>
      <c r="F54" s="20"/>
      <c r="G54" s="19"/>
      <c r="H54" s="17"/>
      <c r="I54" s="21">
        <f>SUM(U47:U53)</f>
        <v>150.19</v>
      </c>
      <c r="J54" s="17">
        <f>157</f>
        <v>157</v>
      </c>
      <c r="K54" s="21">
        <f>SUM(V47:V53)</f>
        <v>2887.42</v>
      </c>
    </row>
    <row r="55" spans="1:27" ht="14.25" x14ac:dyDescent="0.2">
      <c r="A55" s="15"/>
      <c r="B55" s="16"/>
      <c r="C55" s="16" t="s">
        <v>486</v>
      </c>
      <c r="D55" s="18" t="s">
        <v>487</v>
      </c>
      <c r="E55" s="17">
        <f>Source!AQ33</f>
        <v>1.38</v>
      </c>
      <c r="F55" s="20"/>
      <c r="G55" s="19" t="str">
        <f>Source!DI33</f>
        <v/>
      </c>
      <c r="H55" s="17">
        <f>Source!AV33</f>
        <v>1.1919999999999999</v>
      </c>
      <c r="I55" s="21">
        <f>Source!U33</f>
        <v>0.84304199999999985</v>
      </c>
      <c r="J55" s="17"/>
      <c r="K55" s="21"/>
    </row>
    <row r="56" spans="1:27" ht="15" x14ac:dyDescent="0.25">
      <c r="A56" s="30"/>
      <c r="B56" s="30"/>
      <c r="C56" s="30"/>
      <c r="D56" s="30"/>
      <c r="E56" s="30"/>
      <c r="F56" s="30"/>
      <c r="G56" s="30"/>
      <c r="H56" s="74">
        <f>I49+I50+I52+I53+I54</f>
        <v>636.66000000000008</v>
      </c>
      <c r="I56" s="74"/>
      <c r="J56" s="74">
        <f>K49+K50+K52+K53+K54</f>
        <v>7471.2800000000007</v>
      </c>
      <c r="K56" s="74"/>
      <c r="O56" s="28">
        <f>I49+I50+I52+I53+I54</f>
        <v>636.66000000000008</v>
      </c>
      <c r="P56" s="28">
        <f>K49+K50+K52+K53+K54</f>
        <v>7471.2800000000007</v>
      </c>
      <c r="X56">
        <f>IF(Source!BI33&lt;=1,I49+I50+I52+I53+I54-0, 0)</f>
        <v>636.66000000000008</v>
      </c>
      <c r="Y56">
        <f>IF(Source!BI33=2,I49+I50+I52+I53+I54-0, 0)</f>
        <v>0</v>
      </c>
      <c r="Z56">
        <f>IF(Source!BI33=3,I49+I50+I52+I53+I54-0, 0)</f>
        <v>0</v>
      </c>
      <c r="AA56">
        <f>IF(Source!BI33=4,I49+I50+I52+I53+I54,0)</f>
        <v>0</v>
      </c>
    </row>
    <row r="57" spans="1:27" ht="42.75" x14ac:dyDescent="0.2">
      <c r="A57" s="15" t="str">
        <f>Source!E34</f>
        <v>4</v>
      </c>
      <c r="B57" s="16" t="str">
        <f>Source!F34</f>
        <v>15.1-50-2</v>
      </c>
      <c r="C57" s="16" t="s">
        <v>51</v>
      </c>
      <c r="D57" s="18" t="str">
        <f>Source!H34</f>
        <v>1 м3</v>
      </c>
      <c r="E57" s="17">
        <f>Source!I34</f>
        <v>51.25</v>
      </c>
      <c r="F57" s="20"/>
      <c r="G57" s="19"/>
      <c r="H57" s="17"/>
      <c r="I57" s="21"/>
      <c r="J57" s="17"/>
      <c r="K57" s="21"/>
      <c r="Q57">
        <f>ROUND((Source!DN34/100)*ROUND((ROUND((Source!AF34*Source!AV34*Source!I34),2)),2), 2)</f>
        <v>0</v>
      </c>
      <c r="R57">
        <f>Source!X34</f>
        <v>0</v>
      </c>
      <c r="S57">
        <f>ROUND((Source!DO34/100)*ROUND((ROUND((Source!AF34*Source!AV34*Source!I34),2)),2), 2)</f>
        <v>0</v>
      </c>
      <c r="T57">
        <f>Source!Y34</f>
        <v>0</v>
      </c>
      <c r="U57">
        <f>ROUND((175/100)*ROUND((ROUND((Source!AE34*Source!AV34*Source!I34),2)),2), 2)</f>
        <v>0</v>
      </c>
      <c r="V57">
        <f>ROUND((157/100)*ROUND(ROUND((ROUND((Source!AE34*Source!AV34*Source!I34),2)*Source!BS34),2), 2), 2)</f>
        <v>0</v>
      </c>
    </row>
    <row r="58" spans="1:27" x14ac:dyDescent="0.2">
      <c r="C58" s="31" t="str">
        <f>"Объем: "&amp;Source!I34&amp;"="&amp;Source!I33&amp;"*"&amp;"100"</f>
        <v>Объем: 51,25=0,5125*100</v>
      </c>
    </row>
    <row r="59" spans="1:27" ht="14.25" x14ac:dyDescent="0.2">
      <c r="A59" s="15"/>
      <c r="B59" s="16"/>
      <c r="C59" s="16" t="s">
        <v>480</v>
      </c>
      <c r="D59" s="18"/>
      <c r="E59" s="17"/>
      <c r="F59" s="20">
        <f>Source!AM34</f>
        <v>73.78</v>
      </c>
      <c r="G59" s="19" t="str">
        <f>Source!DE34</f>
        <v/>
      </c>
      <c r="H59" s="17">
        <f>Source!AV34</f>
        <v>1</v>
      </c>
      <c r="I59" s="21">
        <f>(ROUND((ROUND(((Source!ET34+(SUM(SmtRes!BD9:'SmtRes'!BD9)+SUM(EtalonRes!AM9:'EtalonRes'!AM9)))*Source!AV34*Source!I34),2)),2)+ROUND((ROUND(((Source!AE34-(Source!EU34))*Source!AV34*Source!I34),2)),2))</f>
        <v>2325.21</v>
      </c>
      <c r="J59" s="17">
        <f>IF(Source!BB34&lt;&gt; 0, Source!BB34, 1)</f>
        <v>9.5299999999999994</v>
      </c>
      <c r="K59" s="21">
        <f>Source!Q34</f>
        <v>22159.25</v>
      </c>
    </row>
    <row r="60" spans="1:27" ht="15" x14ac:dyDescent="0.25">
      <c r="A60" s="30"/>
      <c r="B60" s="30"/>
      <c r="C60" s="30"/>
      <c r="D60" s="30"/>
      <c r="E60" s="30"/>
      <c r="F60" s="30"/>
      <c r="G60" s="30"/>
      <c r="H60" s="74">
        <f>I59</f>
        <v>2325.21</v>
      </c>
      <c r="I60" s="74"/>
      <c r="J60" s="74">
        <f>K59</f>
        <v>22159.25</v>
      </c>
      <c r="K60" s="74"/>
      <c r="O60" s="28">
        <f>I59</f>
        <v>2325.21</v>
      </c>
      <c r="P60" s="28">
        <f>K59</f>
        <v>22159.25</v>
      </c>
      <c r="X60">
        <f>IF(Source!BI34&lt;=1,I59-0, 0)</f>
        <v>0</v>
      </c>
      <c r="Y60">
        <f>IF(Source!BI34=2,I59-0, 0)</f>
        <v>0</v>
      </c>
      <c r="Z60">
        <f>IF(Source!BI34=3,I59-0, 0)</f>
        <v>0</v>
      </c>
      <c r="AA60">
        <f>IF(Source!BI34=4,I59,0)</f>
        <v>2325.21</v>
      </c>
    </row>
    <row r="61" spans="1:27" ht="71.25" x14ac:dyDescent="0.2">
      <c r="A61" s="15" t="str">
        <f>Source!E35</f>
        <v>5</v>
      </c>
      <c r="B61" s="16" t="str">
        <f>Source!F35</f>
        <v>15.1-0-9</v>
      </c>
      <c r="C61" s="16" t="s">
        <v>59</v>
      </c>
      <c r="D61" s="18" t="str">
        <f>Source!H35</f>
        <v>1 Т</v>
      </c>
      <c r="E61" s="17">
        <f>Source!I35</f>
        <v>92.25</v>
      </c>
      <c r="F61" s="20"/>
      <c r="G61" s="19"/>
      <c r="H61" s="17"/>
      <c r="I61" s="21"/>
      <c r="J61" s="17"/>
      <c r="K61" s="21"/>
      <c r="Q61">
        <f>ROUND((Source!DN35/100)*ROUND((ROUND((Source!AF35*Source!AV35*Source!I35),2)),2), 2)</f>
        <v>0</v>
      </c>
      <c r="R61">
        <f>Source!X35</f>
        <v>0</v>
      </c>
      <c r="S61">
        <f>ROUND((Source!DO35/100)*ROUND((ROUND((Source!AF35*Source!AV35*Source!I35),2)),2), 2)</f>
        <v>0</v>
      </c>
      <c r="T61">
        <f>Source!Y35</f>
        <v>0</v>
      </c>
      <c r="U61">
        <f>ROUND((175/100)*ROUND((ROUND((Source!AE35*Source!AV35*Source!I35),2)),2), 2)</f>
        <v>0</v>
      </c>
      <c r="V61">
        <f>ROUND((157/100)*ROUND(ROUND((ROUND((Source!AE35*Source!AV35*Source!I35),2)*Source!BS35),2), 2), 2)</f>
        <v>0</v>
      </c>
    </row>
    <row r="62" spans="1:27" x14ac:dyDescent="0.2">
      <c r="C62" s="31" t="str">
        <f>"Объем: "&amp;Source!I35&amp;"="&amp;Source!I34&amp;"*"&amp;"1,8"</f>
        <v>Объем: 92,25=51,25*1,8</v>
      </c>
    </row>
    <row r="63" spans="1:27" ht="14.25" x14ac:dyDescent="0.2">
      <c r="A63" s="15"/>
      <c r="B63" s="16"/>
      <c r="C63" s="16" t="s">
        <v>480</v>
      </c>
      <c r="D63" s="18"/>
      <c r="E63" s="17"/>
      <c r="F63" s="20">
        <f>Source!AM35</f>
        <v>43.28</v>
      </c>
      <c r="G63" s="19" t="str">
        <f>Source!DE35</f>
        <v/>
      </c>
      <c r="H63" s="17">
        <f>Source!AV35</f>
        <v>1</v>
      </c>
      <c r="I63" s="21">
        <f>(ROUND((ROUND(((Source!ET35)*Source!AV35*Source!I35),2)),2)+ROUND((ROUND(((Source!AE35-(Source!EU35))*Source!AV35*Source!I35),2)),2))</f>
        <v>3992.58</v>
      </c>
      <c r="J63" s="17">
        <f>IF(Source!BB35&lt;&gt; 0, Source!BB35, 1)</f>
        <v>2.87</v>
      </c>
      <c r="K63" s="21">
        <f>Source!Q35</f>
        <v>11458.7</v>
      </c>
    </row>
    <row r="64" spans="1:27" ht="15" x14ac:dyDescent="0.25">
      <c r="A64" s="30"/>
      <c r="B64" s="30"/>
      <c r="C64" s="30"/>
      <c r="D64" s="30"/>
      <c r="E64" s="30"/>
      <c r="F64" s="30"/>
      <c r="G64" s="30"/>
      <c r="H64" s="74">
        <f>I63</f>
        <v>3992.58</v>
      </c>
      <c r="I64" s="74"/>
      <c r="J64" s="74">
        <f>K63</f>
        <v>11458.7</v>
      </c>
      <c r="K64" s="74"/>
      <c r="O64" s="28">
        <f>I63</f>
        <v>3992.58</v>
      </c>
      <c r="P64" s="28">
        <f>K63</f>
        <v>11458.7</v>
      </c>
      <c r="X64">
        <f>IF(Source!BI35&lt;=1,I63-0, 0)</f>
        <v>0</v>
      </c>
      <c r="Y64">
        <f>IF(Source!BI35=2,I63-0, 0)</f>
        <v>0</v>
      </c>
      <c r="Z64">
        <f>IF(Source!BI35=3,I63-0, 0)</f>
        <v>0</v>
      </c>
      <c r="AA64">
        <f>IF(Source!BI35=4,I63,0)</f>
        <v>3992.58</v>
      </c>
    </row>
    <row r="65" spans="1:38" ht="42.75" x14ac:dyDescent="0.2">
      <c r="A65" s="15" t="str">
        <f>Source!E36</f>
        <v>6</v>
      </c>
      <c r="B65" s="16" t="str">
        <f>Source!F36</f>
        <v>15.1-26-11</v>
      </c>
      <c r="C65" s="16" t="s">
        <v>64</v>
      </c>
      <c r="D65" s="18" t="str">
        <f>Source!H36</f>
        <v>1 Т</v>
      </c>
      <c r="E65" s="17">
        <f>Source!I36</f>
        <v>2E-3</v>
      </c>
      <c r="F65" s="20"/>
      <c r="G65" s="19"/>
      <c r="H65" s="17"/>
      <c r="I65" s="21"/>
      <c r="J65" s="17"/>
      <c r="K65" s="21"/>
      <c r="Q65">
        <f>ROUND((Source!DN36/100)*ROUND((ROUND((Source!AF36*Source!AV36*Source!I36),2)),2), 2)</f>
        <v>0</v>
      </c>
      <c r="R65">
        <f>Source!X36</f>
        <v>0</v>
      </c>
      <c r="S65">
        <f>ROUND((Source!DO36/100)*ROUND((ROUND((Source!AF36*Source!AV36*Source!I36),2)),2), 2)</f>
        <v>0</v>
      </c>
      <c r="T65">
        <f>Source!Y36</f>
        <v>0</v>
      </c>
      <c r="U65">
        <f>ROUND((175/100)*ROUND((ROUND((Source!AE36*Source!AV36*Source!I36),2)),2), 2)</f>
        <v>0</v>
      </c>
      <c r="V65">
        <f>ROUND((157/100)*ROUND(ROUND((ROUND((Source!AE36*Source!AV36*Source!I36),2)*Source!BS36),2), 2), 2)</f>
        <v>0</v>
      </c>
    </row>
    <row r="66" spans="1:38" ht="14.25" x14ac:dyDescent="0.2">
      <c r="A66" s="15"/>
      <c r="B66" s="16"/>
      <c r="C66" s="16" t="s">
        <v>480</v>
      </c>
      <c r="D66" s="18"/>
      <c r="E66" s="17"/>
      <c r="F66" s="20">
        <f>Source!AM36</f>
        <v>27.91</v>
      </c>
      <c r="G66" s="19" t="str">
        <f>Source!DE36</f>
        <v/>
      </c>
      <c r="H66" s="17">
        <f>Source!AV36</f>
        <v>1</v>
      </c>
      <c r="I66" s="21">
        <f>(ROUND((ROUND(((Source!ET36)*Source!AV36*Source!I36),2)),2)+ROUND((ROUND(((Source!AE36-(Source!EU36))*Source!AV36*Source!I36),2)),2))</f>
        <v>0.06</v>
      </c>
      <c r="J66" s="17">
        <f>IF(Source!BB36&lt;&gt; 0, Source!BB36, 1)</f>
        <v>8.66</v>
      </c>
      <c r="K66" s="21">
        <f>Source!Q36</f>
        <v>0.52</v>
      </c>
    </row>
    <row r="67" spans="1:38" ht="15" x14ac:dyDescent="0.25">
      <c r="A67" s="30"/>
      <c r="B67" s="30"/>
      <c r="C67" s="30"/>
      <c r="D67" s="30"/>
      <c r="E67" s="30"/>
      <c r="F67" s="30"/>
      <c r="G67" s="30"/>
      <c r="H67" s="74">
        <f>I66</f>
        <v>0.06</v>
      </c>
      <c r="I67" s="74"/>
      <c r="J67" s="74">
        <f>K66</f>
        <v>0.52</v>
      </c>
      <c r="K67" s="74"/>
      <c r="O67" s="28">
        <f>I66</f>
        <v>0.06</v>
      </c>
      <c r="P67" s="28">
        <f>K66</f>
        <v>0.52</v>
      </c>
      <c r="X67">
        <f>IF(Source!BI36&lt;=1,I66-0, 0)</f>
        <v>0</v>
      </c>
      <c r="Y67">
        <f>IF(Source!BI36=2,I66-0, 0)</f>
        <v>0</v>
      </c>
      <c r="Z67">
        <f>IF(Source!BI36=3,I66-0, 0)</f>
        <v>0</v>
      </c>
      <c r="AA67">
        <f>IF(Source!BI36=4,I66,0)</f>
        <v>0.06</v>
      </c>
    </row>
    <row r="68" spans="1:38" ht="14.25" x14ac:dyDescent="0.2">
      <c r="A68" s="15" t="str">
        <f>Source!E37</f>
        <v>7</v>
      </c>
      <c r="B68" s="16" t="str">
        <f>Source!F37</f>
        <v>15.1-0-1</v>
      </c>
      <c r="C68" s="16" t="s">
        <v>70</v>
      </c>
      <c r="D68" s="18" t="str">
        <f>Source!H37</f>
        <v>1 Т</v>
      </c>
      <c r="E68" s="17">
        <f>Source!I37</f>
        <v>2E-3</v>
      </c>
      <c r="F68" s="20"/>
      <c r="G68" s="19"/>
      <c r="H68" s="17"/>
      <c r="I68" s="21"/>
      <c r="J68" s="17"/>
      <c r="K68" s="21"/>
      <c r="Q68">
        <f>ROUND((Source!DN37/100)*ROUND((ROUND((Source!AF37*Source!AV37*Source!I37),2)),2), 2)</f>
        <v>0</v>
      </c>
      <c r="R68">
        <f>Source!X37</f>
        <v>0</v>
      </c>
      <c r="S68">
        <f>ROUND((Source!DO37/100)*ROUND((ROUND((Source!AF37*Source!AV37*Source!I37),2)),2), 2)</f>
        <v>0</v>
      </c>
      <c r="T68">
        <f>Source!Y37</f>
        <v>0</v>
      </c>
      <c r="U68">
        <f>ROUND((175/100)*ROUND((ROUND((Source!AE37*Source!AV37*Source!I37),2)),2), 2)</f>
        <v>0</v>
      </c>
      <c r="V68">
        <f>ROUND((157/100)*ROUND(ROUND((ROUND((Source!AE37*Source!AV37*Source!I37),2)*Source!BS37),2), 2), 2)</f>
        <v>0</v>
      </c>
    </row>
    <row r="69" spans="1:38" ht="14.25" x14ac:dyDescent="0.2">
      <c r="A69" s="15"/>
      <c r="B69" s="16"/>
      <c r="C69" s="16" t="s">
        <v>480</v>
      </c>
      <c r="D69" s="18"/>
      <c r="E69" s="17"/>
      <c r="F69" s="20">
        <f>Source!AM37</f>
        <v>101</v>
      </c>
      <c r="G69" s="19" t="str">
        <f>Source!DE37</f>
        <v/>
      </c>
      <c r="H69" s="17">
        <f>Source!AV37</f>
        <v>1</v>
      </c>
      <c r="I69" s="21">
        <f>(ROUND((ROUND(((Source!ET37)*Source!AV37*Source!I37),2)),2)+ROUND((ROUND(((Source!AE37-(Source!EU37))*Source!AV37*Source!I37),2)),2))</f>
        <v>0.2</v>
      </c>
      <c r="J69" s="17">
        <f>IF(Source!BB37&lt;&gt; 0, Source!BB37, 1)</f>
        <v>2.14</v>
      </c>
      <c r="K69" s="21">
        <f>Source!Q37</f>
        <v>0.43</v>
      </c>
    </row>
    <row r="70" spans="1:38" ht="15" x14ac:dyDescent="0.25">
      <c r="A70" s="30"/>
      <c r="B70" s="30"/>
      <c r="C70" s="30"/>
      <c r="D70" s="30"/>
      <c r="E70" s="30"/>
      <c r="F70" s="30"/>
      <c r="G70" s="30"/>
      <c r="H70" s="74">
        <f>I69</f>
        <v>0.2</v>
      </c>
      <c r="I70" s="74"/>
      <c r="J70" s="74">
        <f>K69</f>
        <v>0.43</v>
      </c>
      <c r="K70" s="74"/>
      <c r="O70" s="28">
        <f>I69</f>
        <v>0.2</v>
      </c>
      <c r="P70" s="28">
        <f>K69</f>
        <v>0.43</v>
      </c>
      <c r="X70">
        <f>IF(Source!BI37&lt;=1,I69-0, 0)</f>
        <v>0</v>
      </c>
      <c r="Y70">
        <f>IF(Source!BI37=2,I69-0, 0)</f>
        <v>0</v>
      </c>
      <c r="Z70">
        <f>IF(Source!BI37=3,I69-0, 0)</f>
        <v>0</v>
      </c>
      <c r="AA70">
        <f>IF(Source!BI37=4,I69,0)</f>
        <v>0.2</v>
      </c>
    </row>
    <row r="72" spans="1:38" ht="15" x14ac:dyDescent="0.25">
      <c r="A72" s="76" t="str">
        <f>CONCATENATE("Итого по разделу: ",IF(Source!G39&lt;&gt;"Новый раздел", Source!G39, ""))</f>
        <v>Итого по разделу: ТЕПЛОВАЯ СЕТЬ  2Ду125 в ППУ-ПЭ бесканальная прокладка - 19.1м</v>
      </c>
      <c r="B72" s="76"/>
      <c r="C72" s="76"/>
      <c r="D72" s="76"/>
      <c r="E72" s="76"/>
      <c r="F72" s="76"/>
      <c r="G72" s="76"/>
      <c r="H72" s="61">
        <f>SUM(O26:O71)</f>
        <v>115353.03000000001</v>
      </c>
      <c r="I72" s="75"/>
      <c r="J72" s="61">
        <f>SUM(P26:P71)</f>
        <v>824234.32</v>
      </c>
      <c r="K72" s="75"/>
      <c r="AL72" s="33" t="str">
        <f>CONCATENATE("Итого по разделу: ",IF(Source!G39&lt;&gt;"Новый раздел", Source!G39, ""))</f>
        <v>Итого по разделу: ТЕПЛОВАЯ СЕТЬ  2Ду125 в ППУ-ПЭ бесканальная прокладка - 19.1м</v>
      </c>
    </row>
    <row r="73" spans="1:38" ht="15" x14ac:dyDescent="0.25">
      <c r="A73" s="76" t="s">
        <v>488</v>
      </c>
      <c r="B73" s="76"/>
      <c r="C73" s="76"/>
      <c r="D73" s="76"/>
      <c r="E73" s="76"/>
      <c r="F73" s="76"/>
      <c r="G73" s="76"/>
      <c r="H73" s="61">
        <f>SUM(AC26:AC72)</f>
        <v>108398.32</v>
      </c>
      <c r="I73" s="75"/>
      <c r="J73" s="61">
        <f>SUM(AD26:AD72)</f>
        <v>783144.1399999999</v>
      </c>
      <c r="K73" s="75"/>
    </row>
    <row r="74" spans="1:38" hidden="1" x14ac:dyDescent="0.2">
      <c r="A74" t="s">
        <v>489</v>
      </c>
      <c r="I74">
        <f>SUM(AE26:AE73)</f>
        <v>0</v>
      </c>
      <c r="J74">
        <f>SUM(AF26:AF73)</f>
        <v>0</v>
      </c>
    </row>
    <row r="76" spans="1:38" ht="16.5" x14ac:dyDescent="0.25">
      <c r="A76" s="73" t="str">
        <f>CONCATENATE("Раздел: ",IF(Source!G68&lt;&gt;"Новый раздел", Source!G68, ""))</f>
        <v>Раздел: ТЕПЛОВАЯ СЕТЬ 2Ду100 в ППУ-ПЭ непроходном канале - 20.5м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</row>
    <row r="77" spans="1:38" ht="98.25" x14ac:dyDescent="0.2">
      <c r="A77" s="15" t="str">
        <f>Source!E72</f>
        <v>8</v>
      </c>
      <c r="B77" s="16" t="str">
        <f>Source!F72</f>
        <v>16.1-3021-1</v>
      </c>
      <c r="C77" s="16" t="s">
        <v>490</v>
      </c>
      <c r="D77" s="18" t="str">
        <f>Source!H72</f>
        <v>1 М</v>
      </c>
      <c r="E77" s="17">
        <f>Source!I72</f>
        <v>20.5</v>
      </c>
      <c r="F77" s="20"/>
      <c r="G77" s="19"/>
      <c r="H77" s="17"/>
      <c r="I77" s="21"/>
      <c r="J77" s="17"/>
      <c r="K77" s="21"/>
      <c r="Q77">
        <f>ROUND((Source!DN72/100)*ROUND((ROUND((Source!AF72*Source!AV72*Source!I72),2)),2), 2)</f>
        <v>0</v>
      </c>
      <c r="R77">
        <f>Source!X72</f>
        <v>0</v>
      </c>
      <c r="S77">
        <f>ROUND((Source!DO72/100)*ROUND((ROUND((Source!AF72*Source!AV72*Source!I72),2)),2), 2)</f>
        <v>0</v>
      </c>
      <c r="T77">
        <f>Source!Y72</f>
        <v>0</v>
      </c>
      <c r="U77">
        <f>ROUND((175/100)*ROUND((ROUND((Source!AE72*Source!AV72*Source!I72),2)),2), 2)</f>
        <v>0</v>
      </c>
      <c r="V77">
        <f>ROUND((157/100)*ROUND(ROUND((ROUND((Source!AE72*Source!AV72*Source!I72),2)*Source!BS72),2), 2), 2)</f>
        <v>0</v>
      </c>
    </row>
    <row r="78" spans="1:38" ht="14.25" x14ac:dyDescent="0.2">
      <c r="A78" s="15"/>
      <c r="B78" s="16"/>
      <c r="C78" s="16" t="s">
        <v>471</v>
      </c>
      <c r="D78" s="18"/>
      <c r="E78" s="17"/>
      <c r="F78" s="20"/>
      <c r="G78" s="19"/>
      <c r="H78" s="17"/>
      <c r="I78" s="21">
        <f>I79+I80+I81+SUM(I82:I85)</f>
        <v>247485.57</v>
      </c>
      <c r="J78" s="17"/>
      <c r="K78" s="21">
        <f>K79+K80+K81+SUM(K82:K85)</f>
        <v>2098851.61</v>
      </c>
    </row>
    <row r="79" spans="1:38" ht="28.5" x14ac:dyDescent="0.2">
      <c r="A79" s="15"/>
      <c r="B79" s="16"/>
      <c r="C79" s="16" t="s">
        <v>472</v>
      </c>
      <c r="D79" s="18"/>
      <c r="E79" s="17"/>
      <c r="F79" s="20">
        <f>Source!AO72</f>
        <v>2052</v>
      </c>
      <c r="G79" s="19" t="str">
        <f>Source!DG72</f>
        <v>*1,15*0,96*0,96</v>
      </c>
      <c r="H79" s="17">
        <f>Source!AV72</f>
        <v>1</v>
      </c>
      <c r="I79" s="21">
        <f>ROUND((ROUND((Source!AF72*Source!AV72*Source!I72),2)),2)</f>
        <v>44583.23</v>
      </c>
      <c r="J79" s="17">
        <f>IF(Source!BA72&lt;&gt; 0, Source!BA72, 1)</f>
        <v>17.36</v>
      </c>
      <c r="K79" s="21">
        <f>Source!GZ72</f>
        <v>773964.87</v>
      </c>
    </row>
    <row r="80" spans="1:38" ht="28.5" x14ac:dyDescent="0.2">
      <c r="A80" s="15"/>
      <c r="B80" s="16"/>
      <c r="C80" s="16" t="s">
        <v>473</v>
      </c>
      <c r="D80" s="18"/>
      <c r="E80" s="17"/>
      <c r="F80" s="20">
        <f>Source!AM72</f>
        <v>1478</v>
      </c>
      <c r="G80" s="19" t="str">
        <f>Source!DE72</f>
        <v>*1,15*0,98*0,96</v>
      </c>
      <c r="H80" s="17">
        <f>Source!AV72</f>
        <v>1</v>
      </c>
      <c r="I80" s="21">
        <f>(ROUND((ROUND((((Source!ET72*1.15*0.98*0.96))*Source!AV72*Source!I72),2)),2)+ROUND((ROUND(((Source!AE72-((Source!EU72*1.15*0.98*0.96)))*Source!AV72*Source!I72),2)),2))</f>
        <v>32781.089999999997</v>
      </c>
      <c r="J80" s="17">
        <f>IF(Source!BB72&lt;&gt; 0, Source!BB72, 1)</f>
        <v>10.53</v>
      </c>
      <c r="K80" s="21">
        <f>Source!GY72</f>
        <v>345184.88</v>
      </c>
    </row>
    <row r="81" spans="1:30" ht="14.25" x14ac:dyDescent="0.2">
      <c r="A81" s="15"/>
      <c r="B81" s="16"/>
      <c r="C81" s="16" t="s">
        <v>474</v>
      </c>
      <c r="D81" s="18"/>
      <c r="E81" s="17"/>
      <c r="F81" s="20">
        <f>Source!AL72</f>
        <v>8000</v>
      </c>
      <c r="G81" s="19" t="str">
        <f>Source!DD72</f>
        <v>*0,96*0,96</v>
      </c>
      <c r="H81" s="17">
        <f>Source!AW72</f>
        <v>1</v>
      </c>
      <c r="I81" s="21">
        <f>ROUND((ROUND((Source!AC72*Source!AW72*Source!I72),2)),2)</f>
        <v>151142.39999999999</v>
      </c>
      <c r="J81" s="17">
        <f>IF(Source!BC72&lt;&gt; 0, Source!BC72, 1)</f>
        <v>6.12</v>
      </c>
      <c r="K81" s="21">
        <f>Source!P72</f>
        <v>924991.49</v>
      </c>
    </row>
    <row r="82" spans="1:30" ht="28.5" x14ac:dyDescent="0.2">
      <c r="A82" s="15" t="str">
        <f>Source!E73</f>
        <v>8,1</v>
      </c>
      <c r="B82" s="16" t="str">
        <f>Source!F73</f>
        <v>1.1-1-630</v>
      </c>
      <c r="C82" s="16" t="s">
        <v>137</v>
      </c>
      <c r="D82" s="18" t="str">
        <f>Source!H73</f>
        <v>м3</v>
      </c>
      <c r="E82" s="17">
        <f>Source!I73</f>
        <v>-1.845</v>
      </c>
      <c r="F82" s="20">
        <f>Source!AK73</f>
        <v>413.58</v>
      </c>
      <c r="G82" s="22" t="s">
        <v>3</v>
      </c>
      <c r="H82" s="17">
        <f>Source!AW73</f>
        <v>1</v>
      </c>
      <c r="I82" s="21">
        <f>ROUND((ROUND((Source!AC73*Source!AW73*Source!I73),2)),2)+(ROUND((ROUND(((Source!ET73)*Source!AV73*Source!I73),2)),2)+ROUND((ROUND(((Source!AE73-(Source!EU73))*Source!AV73*Source!I73),2)),2))+ROUND((ROUND((Source!AF73*Source!AV73*Source!I73),2)),2)</f>
        <v>-763.06</v>
      </c>
      <c r="J82" s="17">
        <f>IF(Source!BC73&lt;&gt; 0, Source!BC73, 1)</f>
        <v>5.4</v>
      </c>
      <c r="K82" s="21">
        <f>Source!O73</f>
        <v>-4120.5200000000004</v>
      </c>
      <c r="Q82">
        <f>ROUND((Source!DN73/100)*ROUND((ROUND((Source!AF73*Source!AV73*Source!I73),2)),2), 2)</f>
        <v>0</v>
      </c>
      <c r="R82">
        <f>Source!X73</f>
        <v>0</v>
      </c>
      <c r="S82">
        <f>ROUND((Source!DO73/100)*ROUND((ROUND((Source!AF73*Source!AV73*Source!I73),2)),2), 2)</f>
        <v>0</v>
      </c>
      <c r="T82">
        <f>Source!Y73</f>
        <v>0</v>
      </c>
      <c r="U82">
        <f>ROUND((175/100)*ROUND((ROUND((Source!AE73*Source!AV73*Source!I73),2)),2), 2)</f>
        <v>0</v>
      </c>
      <c r="V82">
        <f>ROUND((157/100)*ROUND(ROUND((ROUND((Source!AE73*Source!AV73*Source!I73),2)*Source!BS73),2), 2), 2)</f>
        <v>0</v>
      </c>
      <c r="X82">
        <f>IF(Source!BI73&lt;=1,I82, 0)</f>
        <v>-763.06</v>
      </c>
      <c r="Y82">
        <f>IF(Source!BI73=2,I82, 0)</f>
        <v>0</v>
      </c>
      <c r="Z82">
        <f>IF(Source!BI73=3,I82, 0)</f>
        <v>0</v>
      </c>
      <c r="AA82">
        <f>IF(Source!BI73=4,I82, 0)</f>
        <v>0</v>
      </c>
    </row>
    <row r="83" spans="1:30" ht="28.5" x14ac:dyDescent="0.2">
      <c r="A83" s="15" t="str">
        <f>Source!E74</f>
        <v>8,2</v>
      </c>
      <c r="B83" s="16" t="str">
        <f>Source!F74</f>
        <v>1.12-2-5</v>
      </c>
      <c r="C83" s="16" t="s">
        <v>141</v>
      </c>
      <c r="D83" s="18" t="str">
        <f>Source!H74</f>
        <v>м</v>
      </c>
      <c r="E83" s="17">
        <f>Source!I74</f>
        <v>41</v>
      </c>
      <c r="F83" s="20">
        <f>Source!AK74</f>
        <v>481.51</v>
      </c>
      <c r="G83" s="22" t="s">
        <v>3</v>
      </c>
      <c r="H83" s="17">
        <f>Source!AW74</f>
        <v>1</v>
      </c>
      <c r="I83" s="21">
        <f>ROUND((ROUND((Source!AC74*Source!AW74*Source!I74),2)),2)+(ROUND((ROUND(((Source!ET74)*Source!AV74*Source!I74),2)),2)+ROUND((ROUND(((Source!AE74-(Source!EU74))*Source!AV74*Source!I74),2)),2))+ROUND((ROUND((Source!AF74*Source!AV74*Source!I74),2)),2)</f>
        <v>19741.91</v>
      </c>
      <c r="J83" s="17">
        <f>IF(Source!BC74&lt;&gt; 0, Source!BC74, 1)</f>
        <v>2.98</v>
      </c>
      <c r="K83" s="21">
        <f>Source!O74</f>
        <v>58830.89</v>
      </c>
      <c r="Q83">
        <f>ROUND((Source!DN74/100)*ROUND((ROUND((Source!AF74*Source!AV74*Source!I74),2)),2), 2)</f>
        <v>0</v>
      </c>
      <c r="R83">
        <f>Source!X74</f>
        <v>0</v>
      </c>
      <c r="S83">
        <f>ROUND((Source!DO74/100)*ROUND((ROUND((Source!AF74*Source!AV74*Source!I74),2)),2), 2)</f>
        <v>0</v>
      </c>
      <c r="T83">
        <f>Source!Y74</f>
        <v>0</v>
      </c>
      <c r="U83">
        <f>ROUND((175/100)*ROUND((ROUND((Source!AE74*Source!AV74*Source!I74),2)),2), 2)</f>
        <v>0</v>
      </c>
      <c r="V83">
        <f>ROUND((157/100)*ROUND(ROUND((ROUND((Source!AE74*Source!AV74*Source!I74),2)*Source!BS74),2), 2), 2)</f>
        <v>0</v>
      </c>
      <c r="X83">
        <f>IF(Source!BI74&lt;=1,I83, 0)</f>
        <v>19741.91</v>
      </c>
      <c r="Y83">
        <f>IF(Source!BI74=2,I83, 0)</f>
        <v>0</v>
      </c>
      <c r="Z83">
        <f>IF(Source!BI74=3,I83, 0)</f>
        <v>0</v>
      </c>
      <c r="AA83">
        <f>IF(Source!BI74=4,I83, 0)</f>
        <v>0</v>
      </c>
    </row>
    <row r="84" spans="1:30" ht="28.5" x14ac:dyDescent="0.2">
      <c r="A84" s="15" t="str">
        <f>Source!E75</f>
        <v>8,3</v>
      </c>
      <c r="B84" s="16" t="str">
        <f>Source!F75</f>
        <v>9999990001</v>
      </c>
      <c r="C84" s="16" t="s">
        <v>28</v>
      </c>
      <c r="D84" s="18" t="str">
        <f>Source!H75</f>
        <v>т</v>
      </c>
      <c r="E84" s="17">
        <f>Source!I75</f>
        <v>80.963205000000002</v>
      </c>
      <c r="F84" s="20">
        <f>Source!AK75</f>
        <v>0</v>
      </c>
      <c r="G84" s="22" t="s">
        <v>491</v>
      </c>
      <c r="H84" s="17">
        <f>Source!AW75</f>
        <v>1</v>
      </c>
      <c r="I84" s="21">
        <f>ROUND((ROUND((Source!AC75*Source!AW75*Source!I75),2)),2)+(ROUND((ROUND(((Source!ET75)*Source!AV75*Source!I75),2)),2)+ROUND((ROUND(((Source!AE75-(Source!EU75))*Source!AV75*Source!I75),2)),2))+ROUND((ROUND((Source!AF75*Source!AV75*Source!I75),2)),2)</f>
        <v>0</v>
      </c>
      <c r="J84" s="17">
        <f>IF(Source!BC75&lt;&gt; 0, Source!BC75, 1)</f>
        <v>1</v>
      </c>
      <c r="K84" s="21">
        <f>Source!O75</f>
        <v>0</v>
      </c>
      <c r="Q84">
        <f>ROUND((Source!DN75/100)*ROUND((ROUND((Source!AF75*Source!AV75*Source!I75),2)),2), 2)</f>
        <v>0</v>
      </c>
      <c r="R84">
        <f>Source!X75</f>
        <v>0</v>
      </c>
      <c r="S84">
        <f>ROUND((Source!DO75/100)*ROUND((ROUND((Source!AF75*Source!AV75*Source!I75),2)),2), 2)</f>
        <v>0</v>
      </c>
      <c r="T84">
        <f>Source!Y75</f>
        <v>0</v>
      </c>
      <c r="U84">
        <f>ROUND((175/100)*ROUND((ROUND((Source!AE75*Source!AV75*Source!I75),2)),2), 2)</f>
        <v>0</v>
      </c>
      <c r="V84">
        <f>ROUND((157/100)*ROUND(ROUND((ROUND((Source!AE75*Source!AV75*Source!I75),2)*Source!BS75),2), 2), 2)</f>
        <v>0</v>
      </c>
      <c r="X84">
        <f>IF(Source!BI75&lt;=1,I84, 0)</f>
        <v>0</v>
      </c>
      <c r="Y84">
        <f>IF(Source!BI75=2,I84, 0)</f>
        <v>0</v>
      </c>
      <c r="Z84">
        <f>IF(Source!BI75=3,I84, 0)</f>
        <v>0</v>
      </c>
      <c r="AA84">
        <f>IF(Source!BI75=4,I84, 0)</f>
        <v>0</v>
      </c>
    </row>
    <row r="85" spans="1:30" ht="28.5" x14ac:dyDescent="0.2">
      <c r="A85" s="15" t="str">
        <f>Source!E76</f>
        <v>8,4</v>
      </c>
      <c r="B85" s="16" t="str">
        <f>Source!F76</f>
        <v>9999990004</v>
      </c>
      <c r="C85" s="16" t="s">
        <v>32</v>
      </c>
      <c r="D85" s="18" t="str">
        <f>Source!H76</f>
        <v>м3</v>
      </c>
      <c r="E85" s="17">
        <f>Source!I76</f>
        <v>220.23336999999998</v>
      </c>
      <c r="F85" s="20">
        <f>Source!AK76</f>
        <v>0</v>
      </c>
      <c r="G85" s="22" t="s">
        <v>491</v>
      </c>
      <c r="H85" s="17">
        <f>Source!AW76</f>
        <v>1</v>
      </c>
      <c r="I85" s="21">
        <f>ROUND((ROUND((Source!AC76*Source!AW76*Source!I76),2)),2)+(ROUND((ROUND(((Source!ET76)*Source!AV76*Source!I76),2)),2)+ROUND((ROUND(((Source!AE76-(Source!EU76))*Source!AV76*Source!I76),2)),2))+ROUND((ROUND((Source!AF76*Source!AV76*Source!I76),2)),2)</f>
        <v>0</v>
      </c>
      <c r="J85" s="17">
        <f>IF(Source!BC76&lt;&gt; 0, Source!BC76, 1)</f>
        <v>1</v>
      </c>
      <c r="K85" s="21">
        <f>Source!O76</f>
        <v>0</v>
      </c>
      <c r="Q85">
        <f>ROUND((Source!DN76/100)*ROUND((ROUND((Source!AF76*Source!AV76*Source!I76),2)),2), 2)</f>
        <v>0</v>
      </c>
      <c r="R85">
        <f>Source!X76</f>
        <v>0</v>
      </c>
      <c r="S85">
        <f>ROUND((Source!DO76/100)*ROUND((ROUND((Source!AF76*Source!AV76*Source!I76),2)),2), 2)</f>
        <v>0</v>
      </c>
      <c r="T85">
        <f>Source!Y76</f>
        <v>0</v>
      </c>
      <c r="U85">
        <f>ROUND((175/100)*ROUND((ROUND((Source!AE76*Source!AV76*Source!I76),2)),2), 2)</f>
        <v>0</v>
      </c>
      <c r="V85">
        <f>ROUND((157/100)*ROUND(ROUND((ROUND((Source!AE76*Source!AV76*Source!I76),2)*Source!BS76),2), 2), 2)</f>
        <v>0</v>
      </c>
      <c r="X85">
        <f>IF(Source!BI76&lt;=1,I85, 0)</f>
        <v>0</v>
      </c>
      <c r="Y85">
        <f>IF(Source!BI76=2,I85, 0)</f>
        <v>0</v>
      </c>
      <c r="Z85">
        <f>IF(Source!BI76=3,I85, 0)</f>
        <v>0</v>
      </c>
      <c r="AA85">
        <f>IF(Source!BI76=4,I85, 0)</f>
        <v>0</v>
      </c>
    </row>
    <row r="86" spans="1:30" ht="14.25" x14ac:dyDescent="0.2">
      <c r="A86" s="23"/>
      <c r="B86" s="24"/>
      <c r="C86" s="24" t="s">
        <v>477</v>
      </c>
      <c r="D86" s="18"/>
      <c r="E86" s="25"/>
      <c r="F86" s="26">
        <f>Source!HA72</f>
        <v>11.657</v>
      </c>
      <c r="G86" s="18"/>
      <c r="H86" s="25"/>
      <c r="I86" s="27"/>
      <c r="J86" s="25"/>
      <c r="K86" s="26">
        <f>Source!HA72*Source!I72</f>
        <v>238.96850000000001</v>
      </c>
    </row>
    <row r="87" spans="1:30" ht="14.25" x14ac:dyDescent="0.2">
      <c r="A87" s="23"/>
      <c r="B87" s="24"/>
      <c r="C87" s="24" t="s">
        <v>478</v>
      </c>
      <c r="D87" s="18"/>
      <c r="E87" s="25"/>
      <c r="F87" s="26">
        <f>Source!HB72</f>
        <v>4.2854000000000001</v>
      </c>
      <c r="G87" s="18"/>
      <c r="H87" s="25"/>
      <c r="I87" s="27"/>
      <c r="J87" s="25"/>
      <c r="K87" s="26">
        <f>Source!HB72*Source!I72</f>
        <v>87.850700000000003</v>
      </c>
    </row>
    <row r="88" spans="1:30" ht="15" x14ac:dyDescent="0.25">
      <c r="A88" s="30"/>
      <c r="B88" s="30"/>
      <c r="C88" s="30"/>
      <c r="D88" s="30"/>
      <c r="E88" s="30"/>
      <c r="F88" s="30"/>
      <c r="G88" s="30"/>
      <c r="H88" s="74">
        <f>I79+I80+I81+SUM(I82:I85)</f>
        <v>247485.57</v>
      </c>
      <c r="I88" s="74"/>
      <c r="J88" s="74">
        <f>K79+K80+K81+SUM(K82:K85)</f>
        <v>2098851.61</v>
      </c>
      <c r="K88" s="74"/>
      <c r="O88" s="28">
        <f>I79+I80+I81+SUM(I82:I85)</f>
        <v>247485.57</v>
      </c>
      <c r="P88" s="28">
        <f>K79+K80+K81+SUM(K82:K85)</f>
        <v>2098851.61</v>
      </c>
      <c r="X88">
        <f>IF(Source!BI72&lt;=1,I79+I80+I81-0, 0)</f>
        <v>228506.72</v>
      </c>
      <c r="Y88">
        <f>IF(Source!BI72=2,I79+I80+I81-0, 0)</f>
        <v>0</v>
      </c>
      <c r="Z88">
        <f>IF(Source!BI72=3,I79+I80+I81-0, 0)</f>
        <v>0</v>
      </c>
      <c r="AA88">
        <f>IF(Source!BI72=4,I79+I80+I81,0)</f>
        <v>0</v>
      </c>
      <c r="AC88" s="28">
        <f>I79+I80+I81+SUM(I82:I85)</f>
        <v>247485.57</v>
      </c>
      <c r="AD88" s="28">
        <f>K79+K80+K81+SUM(K82:K85)</f>
        <v>2098851.61</v>
      </c>
    </row>
    <row r="89" spans="1:30" ht="55.5" x14ac:dyDescent="0.2">
      <c r="A89" s="15" t="str">
        <f>Source!E77</f>
        <v>9</v>
      </c>
      <c r="B89" s="16" t="str">
        <f>Source!F77</f>
        <v>3.24-42-5</v>
      </c>
      <c r="C89" s="16" t="s">
        <v>492</v>
      </c>
      <c r="D89" s="18" t="str">
        <f>Source!H77</f>
        <v>1 стык</v>
      </c>
      <c r="E89" s="17">
        <f>Source!I77</f>
        <v>6</v>
      </c>
      <c r="F89" s="20"/>
      <c r="G89" s="19"/>
      <c r="H89" s="17"/>
      <c r="I89" s="21"/>
      <c r="J89" s="17"/>
      <c r="K89" s="21"/>
      <c r="Q89">
        <f>ROUND((Source!DN77/100)*ROUND((ROUND((Source!AF77*Source!AV77*Source!I77),2)),2), 2)</f>
        <v>2230</v>
      </c>
      <c r="R89">
        <f>Source!X77</f>
        <v>38087.360000000001</v>
      </c>
      <c r="S89">
        <f>ROUND((Source!DO77/100)*ROUND((ROUND((Source!AF77*Source!AV77*Source!I77),2)),2), 2)</f>
        <v>1894.66</v>
      </c>
      <c r="T89">
        <f>Source!Y77</f>
        <v>19043.68</v>
      </c>
      <c r="U89">
        <f>ROUND((175/100)*ROUND((ROUND((Source!AE77*Source!AV77*Source!I77),2)),2), 2)</f>
        <v>120.86</v>
      </c>
      <c r="V89">
        <f>ROUND((157/100)*ROUND(ROUND((ROUND((Source!AE77*Source!AV77*Source!I77),2)*Source!BS77),2), 2), 2)</f>
        <v>2323.54</v>
      </c>
    </row>
    <row r="90" spans="1:30" ht="14.25" x14ac:dyDescent="0.2">
      <c r="A90" s="15"/>
      <c r="B90" s="16"/>
      <c r="C90" s="16" t="s">
        <v>479</v>
      </c>
      <c r="D90" s="18"/>
      <c r="E90" s="17"/>
      <c r="F90" s="20">
        <f>Source!AO77</f>
        <v>227.74</v>
      </c>
      <c r="G90" s="19" t="str">
        <f>Source!DG77</f>
        <v>*1,15</v>
      </c>
      <c r="H90" s="17">
        <f>Source!AV77</f>
        <v>1.0669999999999999</v>
      </c>
      <c r="I90" s="21">
        <f>ROUND((ROUND((Source!AF77*Source!AV77*Source!I77),2)),2)</f>
        <v>1676.69</v>
      </c>
      <c r="J90" s="17">
        <f>IF(Source!BA77&lt;&gt; 0, Source!BA77, 1)</f>
        <v>21.43</v>
      </c>
      <c r="K90" s="21">
        <f>Source!S77</f>
        <v>35931.47</v>
      </c>
      <c r="W90">
        <f>I90</f>
        <v>1676.69</v>
      </c>
    </row>
    <row r="91" spans="1:30" ht="14.25" x14ac:dyDescent="0.2">
      <c r="A91" s="15"/>
      <c r="B91" s="16"/>
      <c r="C91" s="16" t="s">
        <v>480</v>
      </c>
      <c r="D91" s="18"/>
      <c r="E91" s="17"/>
      <c r="F91" s="20">
        <f>Source!AM77</f>
        <v>75.78</v>
      </c>
      <c r="G91" s="19" t="str">
        <f>Source!DE77</f>
        <v>*1,15</v>
      </c>
      <c r="H91" s="17">
        <f>Source!AV77</f>
        <v>1.0669999999999999</v>
      </c>
      <c r="I91" s="21">
        <f>(ROUND((ROUND((((Source!ET77*1.15))*Source!AV77*Source!I77),2)),2)+ROUND((ROUND(((Source!AE77-((Source!EU77*1.15)))*Source!AV77*Source!I77),2)),2))</f>
        <v>557.91999999999996</v>
      </c>
      <c r="J91" s="17">
        <f>IF(Source!BB77&lt;&gt; 0, Source!BB77, 1)</f>
        <v>7.56</v>
      </c>
      <c r="K91" s="21">
        <f>Source!Q77</f>
        <v>4217.88</v>
      </c>
    </row>
    <row r="92" spans="1:30" ht="14.25" x14ac:dyDescent="0.2">
      <c r="A92" s="15"/>
      <c r="B92" s="16"/>
      <c r="C92" s="16" t="s">
        <v>481</v>
      </c>
      <c r="D92" s="18"/>
      <c r="E92" s="17"/>
      <c r="F92" s="20">
        <f>Source!AN77</f>
        <v>9.3800000000000008</v>
      </c>
      <c r="G92" s="19" t="str">
        <f>Source!DF77</f>
        <v>*1,15</v>
      </c>
      <c r="H92" s="17">
        <f>Source!AV77</f>
        <v>1.0669999999999999</v>
      </c>
      <c r="I92" s="27">
        <f>ROUND((ROUND((Source!AE77*Source!AV77*Source!I77),2)),2)</f>
        <v>69.06</v>
      </c>
      <c r="J92" s="17">
        <f>IF(Source!BS77&lt;&gt; 0, Source!BS77, 1)</f>
        <v>21.43</v>
      </c>
      <c r="K92" s="27">
        <f>Source!R77</f>
        <v>1479.96</v>
      </c>
      <c r="W92">
        <f>I92</f>
        <v>69.06</v>
      </c>
    </row>
    <row r="93" spans="1:30" ht="14.25" x14ac:dyDescent="0.2">
      <c r="A93" s="15"/>
      <c r="B93" s="16"/>
      <c r="C93" s="16" t="s">
        <v>474</v>
      </c>
      <c r="D93" s="18"/>
      <c r="E93" s="17"/>
      <c r="F93" s="20">
        <f>Source!AL77</f>
        <v>24.34</v>
      </c>
      <c r="G93" s="19" t="str">
        <f>Source!DD77</f>
        <v/>
      </c>
      <c r="H93" s="17">
        <f>Source!AW77</f>
        <v>1.0029999999999999</v>
      </c>
      <c r="I93" s="21">
        <f>ROUND((ROUND((Source!AC77*Source!AW77*Source!I77),2)),2)</f>
        <v>146.47999999999999</v>
      </c>
      <c r="J93" s="17">
        <f>IF(Source!BC77&lt;&gt; 0, Source!BC77, 1)</f>
        <v>2.17</v>
      </c>
      <c r="K93" s="21">
        <f>Source!P77</f>
        <v>317.86</v>
      </c>
    </row>
    <row r="94" spans="1:30" ht="42.75" x14ac:dyDescent="0.2">
      <c r="A94" s="15" t="str">
        <f>Source!E78</f>
        <v>9,1</v>
      </c>
      <c r="B94" s="16" t="str">
        <f>Source!F78</f>
        <v>1.12-2-596</v>
      </c>
      <c r="C94" s="16" t="s">
        <v>156</v>
      </c>
      <c r="D94" s="18" t="str">
        <f>Source!H78</f>
        <v>КОМПЛЕКТ</v>
      </c>
      <c r="E94" s="17">
        <f>Source!I78</f>
        <v>6</v>
      </c>
      <c r="F94" s="20">
        <f>Source!AK78</f>
        <v>2350.59</v>
      </c>
      <c r="G94" s="22" t="s">
        <v>3</v>
      </c>
      <c r="H94" s="17">
        <f>Source!AW78</f>
        <v>1.0029999999999999</v>
      </c>
      <c r="I94" s="21">
        <f>ROUND((ROUND((Source!AC78*Source!AW78*Source!I78),2)),2)+(ROUND((ROUND(((Source!ET78)*Source!AV78*Source!I78),2)),2)+ROUND((ROUND(((Source!AE78-(Source!EU78))*Source!AV78*Source!I78),2)),2))+ROUND((ROUND((Source!AF78*Source!AV78*Source!I78),2)),2)</f>
        <v>14145.85</v>
      </c>
      <c r="J94" s="17">
        <f>IF(Source!BC78&lt;&gt; 0, Source!BC78, 1)</f>
        <v>1.86</v>
      </c>
      <c r="K94" s="21">
        <f>Source!O78</f>
        <v>26311.279999999999</v>
      </c>
      <c r="Q94">
        <f>ROUND((Source!DN78/100)*ROUND((ROUND((Source!AF78*Source!AV78*Source!I78),2)),2), 2)</f>
        <v>0</v>
      </c>
      <c r="R94">
        <f>Source!X78</f>
        <v>0</v>
      </c>
      <c r="S94">
        <f>ROUND((Source!DO78/100)*ROUND((ROUND((Source!AF78*Source!AV78*Source!I78),2)),2), 2)</f>
        <v>0</v>
      </c>
      <c r="T94">
        <f>Source!Y78</f>
        <v>0</v>
      </c>
      <c r="U94">
        <f>ROUND((175/100)*ROUND((ROUND((Source!AE78*Source!AV78*Source!I78),2)),2), 2)</f>
        <v>0</v>
      </c>
      <c r="V94">
        <f>ROUND((157/100)*ROUND(ROUND((ROUND((Source!AE78*Source!AV78*Source!I78),2)*Source!BS78),2), 2), 2)</f>
        <v>0</v>
      </c>
      <c r="X94">
        <f>IF(Source!BI78&lt;=1,I94, 0)</f>
        <v>14145.85</v>
      </c>
      <c r="Y94">
        <f>IF(Source!BI78=2,I94, 0)</f>
        <v>0</v>
      </c>
      <c r="Z94">
        <f>IF(Source!BI78=3,I94, 0)</f>
        <v>0</v>
      </c>
      <c r="AA94">
        <f>IF(Source!BI78=4,I94, 0)</f>
        <v>0</v>
      </c>
    </row>
    <row r="95" spans="1:30" ht="14.25" x14ac:dyDescent="0.2">
      <c r="A95" s="15"/>
      <c r="B95" s="16"/>
      <c r="C95" s="16" t="s">
        <v>482</v>
      </c>
      <c r="D95" s="18" t="s">
        <v>483</v>
      </c>
      <c r="E95" s="17">
        <f>Source!DN77</f>
        <v>133</v>
      </c>
      <c r="F95" s="20"/>
      <c r="G95" s="19"/>
      <c r="H95" s="17"/>
      <c r="I95" s="21">
        <f>SUM(Q89:Q94)</f>
        <v>2230</v>
      </c>
      <c r="J95" s="17">
        <f>Source!BZ77</f>
        <v>106</v>
      </c>
      <c r="K95" s="21">
        <f>SUM(R89:R94)</f>
        <v>38087.360000000001</v>
      </c>
    </row>
    <row r="96" spans="1:30" ht="14.25" x14ac:dyDescent="0.2">
      <c r="A96" s="15"/>
      <c r="B96" s="16"/>
      <c r="C96" s="16" t="s">
        <v>484</v>
      </c>
      <c r="D96" s="18" t="s">
        <v>483</v>
      </c>
      <c r="E96" s="17">
        <f>Source!DO77</f>
        <v>113</v>
      </c>
      <c r="F96" s="20"/>
      <c r="G96" s="19"/>
      <c r="H96" s="17"/>
      <c r="I96" s="21">
        <f>SUM(S89:S95)</f>
        <v>1894.66</v>
      </c>
      <c r="J96" s="17">
        <f>Source!CA77</f>
        <v>53</v>
      </c>
      <c r="K96" s="21">
        <f>SUM(T89:T95)</f>
        <v>19043.68</v>
      </c>
    </row>
    <row r="97" spans="1:27" ht="14.25" x14ac:dyDescent="0.2">
      <c r="A97" s="15"/>
      <c r="B97" s="16"/>
      <c r="C97" s="16" t="s">
        <v>485</v>
      </c>
      <c r="D97" s="18" t="s">
        <v>483</v>
      </c>
      <c r="E97" s="17">
        <f>175</f>
        <v>175</v>
      </c>
      <c r="F97" s="20"/>
      <c r="G97" s="19"/>
      <c r="H97" s="17"/>
      <c r="I97" s="21">
        <f>SUM(U89:U96)</f>
        <v>120.86</v>
      </c>
      <c r="J97" s="17">
        <f>157</f>
        <v>157</v>
      </c>
      <c r="K97" s="21">
        <f>SUM(V89:V96)</f>
        <v>2323.54</v>
      </c>
    </row>
    <row r="98" spans="1:27" ht="14.25" x14ac:dyDescent="0.2">
      <c r="A98" s="15"/>
      <c r="B98" s="16"/>
      <c r="C98" s="16" t="s">
        <v>486</v>
      </c>
      <c r="D98" s="18" t="s">
        <v>487</v>
      </c>
      <c r="E98" s="17">
        <f>Source!AQ77</f>
        <v>16.2</v>
      </c>
      <c r="F98" s="20"/>
      <c r="G98" s="19" t="str">
        <f>Source!DI77</f>
        <v>*1,15</v>
      </c>
      <c r="H98" s="17">
        <f>Source!AV77</f>
        <v>1.0669999999999999</v>
      </c>
      <c r="I98" s="21">
        <f>Source!U77</f>
        <v>119.26926</v>
      </c>
      <c r="J98" s="17"/>
      <c r="K98" s="21"/>
    </row>
    <row r="99" spans="1:27" ht="15" x14ac:dyDescent="0.25">
      <c r="A99" s="30"/>
      <c r="B99" s="30"/>
      <c r="C99" s="30"/>
      <c r="D99" s="30"/>
      <c r="E99" s="30"/>
      <c r="F99" s="30"/>
      <c r="G99" s="30"/>
      <c r="H99" s="74">
        <f>I90+I91+I93+I95+I96+I97+SUM(I94:I94)</f>
        <v>20772.46</v>
      </c>
      <c r="I99" s="74"/>
      <c r="J99" s="74">
        <f>K90+K91+K93+K95+K96+K97+SUM(K94:K94)</f>
        <v>126233.06999999999</v>
      </c>
      <c r="K99" s="74"/>
      <c r="O99" s="28">
        <f>I90+I91+I93+I95+I96+I97+SUM(I94:I94)</f>
        <v>20772.46</v>
      </c>
      <c r="P99" s="28">
        <f>K90+K91+K93+K95+K96+K97+SUM(K94:K94)</f>
        <v>126233.06999999999</v>
      </c>
      <c r="X99">
        <f>IF(Source!BI77&lt;=1,I90+I91+I93+I95+I96+I97-0, 0)</f>
        <v>6626.61</v>
      </c>
      <c r="Y99">
        <f>IF(Source!BI77=2,I90+I91+I93+I95+I96+I97-0, 0)</f>
        <v>0</v>
      </c>
      <c r="Z99">
        <f>IF(Source!BI77=3,I90+I91+I93+I95+I96+I97-0, 0)</f>
        <v>0</v>
      </c>
      <c r="AA99">
        <f>IF(Source!BI77=4,I90+I91+I93+I95+I96+I97,0)</f>
        <v>0</v>
      </c>
    </row>
    <row r="100" spans="1:27" ht="57" x14ac:dyDescent="0.2">
      <c r="A100" s="15" t="str">
        <f>Source!E79</f>
        <v>10</v>
      </c>
      <c r="B100" s="16" t="str">
        <f>Source!F79</f>
        <v>3.1-6-10</v>
      </c>
      <c r="C100" s="16" t="s">
        <v>43</v>
      </c>
      <c r="D100" s="18" t="str">
        <f>Source!H79</f>
        <v>100 м3 грунта</v>
      </c>
      <c r="E100" s="17">
        <f>Source!I79</f>
        <v>2.202</v>
      </c>
      <c r="F100" s="20"/>
      <c r="G100" s="19"/>
      <c r="H100" s="17"/>
      <c r="I100" s="21"/>
      <c r="J100" s="17"/>
      <c r="K100" s="21"/>
      <c r="Q100">
        <f>ROUND((Source!DN79/100)*ROUND((ROUND((Source!AF79*Source!AV79*Source!I79),2)),2), 2)</f>
        <v>36.270000000000003</v>
      </c>
      <c r="R100">
        <f>Source!X79</f>
        <v>729.67</v>
      </c>
      <c r="S100">
        <f>ROUND((Source!DO79/100)*ROUND((ROUND((Source!AF79*Source!AV79*Source!I79),2)),2), 2)</f>
        <v>28.5</v>
      </c>
      <c r="T100">
        <f>Source!Y79</f>
        <v>396.56</v>
      </c>
      <c r="U100">
        <f>ROUND((175/100)*ROUND((ROUND((Source!AE79*Source!AV79*Source!I79),2)),2), 2)</f>
        <v>645.28</v>
      </c>
      <c r="V100">
        <f>ROUND((157/100)*ROUND(ROUND((ROUND((Source!AE79*Source!AV79*Source!I79),2)*Source!BS79),2), 2), 2)</f>
        <v>12405.95</v>
      </c>
    </row>
    <row r="101" spans="1:27" x14ac:dyDescent="0.2">
      <c r="C101" s="31" t="str">
        <f>"Объем: "&amp;Source!I79&amp;"="&amp;Source!I76&amp;"/"&amp;"100"</f>
        <v>Объем: 2,202=220,23337/100</v>
      </c>
    </row>
    <row r="102" spans="1:27" ht="14.25" x14ac:dyDescent="0.2">
      <c r="A102" s="15"/>
      <c r="B102" s="16"/>
      <c r="C102" s="16" t="s">
        <v>479</v>
      </c>
      <c r="D102" s="18"/>
      <c r="E102" s="17"/>
      <c r="F102" s="20">
        <f>Source!AO79</f>
        <v>14.1</v>
      </c>
      <c r="G102" s="19" t="str">
        <f>Source!DG79</f>
        <v/>
      </c>
      <c r="H102" s="17">
        <f>Source!AV79</f>
        <v>1.1919999999999999</v>
      </c>
      <c r="I102" s="21">
        <f>ROUND((ROUND((Source!AF79*Source!AV79*Source!I79),2)),2)</f>
        <v>37.01</v>
      </c>
      <c r="J102" s="17">
        <f>IF(Source!BA79&lt;&gt; 0, Source!BA79, 1)</f>
        <v>21.43</v>
      </c>
      <c r="K102" s="21">
        <f>Source!S79</f>
        <v>793.12</v>
      </c>
      <c r="W102">
        <f>I102</f>
        <v>37.01</v>
      </c>
    </row>
    <row r="103" spans="1:27" ht="14.25" x14ac:dyDescent="0.2">
      <c r="A103" s="15"/>
      <c r="B103" s="16"/>
      <c r="C103" s="16" t="s">
        <v>480</v>
      </c>
      <c r="D103" s="18"/>
      <c r="E103" s="17"/>
      <c r="F103" s="20">
        <f>Source!AM79</f>
        <v>757.55</v>
      </c>
      <c r="G103" s="19" t="str">
        <f>Source!DE79</f>
        <v/>
      </c>
      <c r="H103" s="17">
        <f>Source!AV79</f>
        <v>1.1919999999999999</v>
      </c>
      <c r="I103" s="21">
        <f>(ROUND((ROUND(((Source!ET79)*Source!AV79*Source!I79),2)),2)+ROUND((ROUND(((Source!AE79-(Source!EU79))*Source!AV79*Source!I79),2)),2))</f>
        <v>1988.41</v>
      </c>
      <c r="J103" s="17">
        <f>IF(Source!BB79&lt;&gt; 0, Source!BB79, 1)</f>
        <v>8.94</v>
      </c>
      <c r="K103" s="21">
        <f>Source!Q79</f>
        <v>17776.39</v>
      </c>
    </row>
    <row r="104" spans="1:27" ht="14.25" x14ac:dyDescent="0.2">
      <c r="A104" s="15"/>
      <c r="B104" s="16"/>
      <c r="C104" s="16" t="s">
        <v>481</v>
      </c>
      <c r="D104" s="18"/>
      <c r="E104" s="17"/>
      <c r="F104" s="20">
        <f>Source!AN79</f>
        <v>140.47999999999999</v>
      </c>
      <c r="G104" s="19" t="str">
        <f>Source!DF79</f>
        <v/>
      </c>
      <c r="H104" s="17">
        <f>Source!AV79</f>
        <v>1.1919999999999999</v>
      </c>
      <c r="I104" s="27">
        <f>ROUND((ROUND((Source!AE79*Source!AV79*Source!I79),2)),2)</f>
        <v>368.73</v>
      </c>
      <c r="J104" s="17">
        <f>IF(Source!BS79&lt;&gt; 0, Source!BS79, 1)</f>
        <v>21.43</v>
      </c>
      <c r="K104" s="27">
        <f>Source!R79</f>
        <v>7901.88</v>
      </c>
      <c r="W104">
        <f>I104</f>
        <v>368.73</v>
      </c>
    </row>
    <row r="105" spans="1:27" ht="14.25" x14ac:dyDescent="0.2">
      <c r="A105" s="15"/>
      <c r="B105" s="16"/>
      <c r="C105" s="16" t="s">
        <v>482</v>
      </c>
      <c r="D105" s="18" t="s">
        <v>483</v>
      </c>
      <c r="E105" s="17">
        <f>Source!DN79</f>
        <v>98</v>
      </c>
      <c r="F105" s="20"/>
      <c r="G105" s="19"/>
      <c r="H105" s="17"/>
      <c r="I105" s="21">
        <f>SUM(Q100:Q104)</f>
        <v>36.270000000000003</v>
      </c>
      <c r="J105" s="17">
        <f>Source!BZ79</f>
        <v>92</v>
      </c>
      <c r="K105" s="21">
        <f>SUM(R100:R104)</f>
        <v>729.67</v>
      </c>
    </row>
    <row r="106" spans="1:27" ht="14.25" x14ac:dyDescent="0.2">
      <c r="A106" s="15"/>
      <c r="B106" s="16"/>
      <c r="C106" s="16" t="s">
        <v>484</v>
      </c>
      <c r="D106" s="18" t="s">
        <v>483</v>
      </c>
      <c r="E106" s="17">
        <f>Source!DO79</f>
        <v>77</v>
      </c>
      <c r="F106" s="20"/>
      <c r="G106" s="19"/>
      <c r="H106" s="17"/>
      <c r="I106" s="21">
        <f>SUM(S100:S105)</f>
        <v>28.5</v>
      </c>
      <c r="J106" s="17">
        <f>Source!CA79</f>
        <v>50</v>
      </c>
      <c r="K106" s="21">
        <f>SUM(T100:T105)</f>
        <v>396.56</v>
      </c>
    </row>
    <row r="107" spans="1:27" ht="14.25" x14ac:dyDescent="0.2">
      <c r="A107" s="15"/>
      <c r="B107" s="16"/>
      <c r="C107" s="16" t="s">
        <v>485</v>
      </c>
      <c r="D107" s="18" t="s">
        <v>483</v>
      </c>
      <c r="E107" s="17">
        <f>175</f>
        <v>175</v>
      </c>
      <c r="F107" s="20"/>
      <c r="G107" s="19"/>
      <c r="H107" s="17"/>
      <c r="I107" s="21">
        <f>SUM(U100:U106)</f>
        <v>645.28</v>
      </c>
      <c r="J107" s="17">
        <f>157</f>
        <v>157</v>
      </c>
      <c r="K107" s="21">
        <f>SUM(V100:V106)</f>
        <v>12405.95</v>
      </c>
    </row>
    <row r="108" spans="1:27" ht="14.25" x14ac:dyDescent="0.2">
      <c r="A108" s="15"/>
      <c r="B108" s="16"/>
      <c r="C108" s="16" t="s">
        <v>486</v>
      </c>
      <c r="D108" s="18" t="s">
        <v>487</v>
      </c>
      <c r="E108" s="17">
        <f>Source!AQ79</f>
        <v>1.38</v>
      </c>
      <c r="F108" s="20"/>
      <c r="G108" s="19" t="str">
        <f>Source!DI79</f>
        <v/>
      </c>
      <c r="H108" s="17">
        <f>Source!AV79</f>
        <v>1.1919999999999999</v>
      </c>
      <c r="I108" s="21">
        <f>Source!U79</f>
        <v>3.6222019199999993</v>
      </c>
      <c r="J108" s="17"/>
      <c r="K108" s="21"/>
    </row>
    <row r="109" spans="1:27" ht="15" x14ac:dyDescent="0.25">
      <c r="A109" s="30"/>
      <c r="B109" s="30"/>
      <c r="C109" s="30"/>
      <c r="D109" s="30"/>
      <c r="E109" s="30"/>
      <c r="F109" s="30"/>
      <c r="G109" s="30"/>
      <c r="H109" s="74">
        <f>I102+I103+I105+I106+I107</f>
        <v>2735.4700000000003</v>
      </c>
      <c r="I109" s="74"/>
      <c r="J109" s="74">
        <f>K102+K103+K105+K106+K107</f>
        <v>32101.69</v>
      </c>
      <c r="K109" s="74"/>
      <c r="O109" s="28">
        <f>I102+I103+I105+I106+I107</f>
        <v>2735.4700000000003</v>
      </c>
      <c r="P109" s="28">
        <f>K102+K103+K105+K106+K107</f>
        <v>32101.69</v>
      </c>
      <c r="X109">
        <f>IF(Source!BI79&lt;=1,I102+I103+I105+I106+I107-0, 0)</f>
        <v>2735.4700000000003</v>
      </c>
      <c r="Y109">
        <f>IF(Source!BI79=2,I102+I103+I105+I106+I107-0, 0)</f>
        <v>0</v>
      </c>
      <c r="Z109">
        <f>IF(Source!BI79=3,I102+I103+I105+I106+I107-0, 0)</f>
        <v>0</v>
      </c>
      <c r="AA109">
        <f>IF(Source!BI79=4,I102+I103+I105+I106+I107,0)</f>
        <v>0</v>
      </c>
    </row>
    <row r="110" spans="1:27" ht="42.75" x14ac:dyDescent="0.2">
      <c r="A110" s="15" t="str">
        <f>Source!E80</f>
        <v>11</v>
      </c>
      <c r="B110" s="16" t="str">
        <f>Source!F80</f>
        <v>15.1-50-2</v>
      </c>
      <c r="C110" s="16" t="s">
        <v>51</v>
      </c>
      <c r="D110" s="18" t="str">
        <f>Source!H80</f>
        <v>1 м3</v>
      </c>
      <c r="E110" s="17">
        <f>Source!I80</f>
        <v>220.2</v>
      </c>
      <c r="F110" s="20"/>
      <c r="G110" s="19"/>
      <c r="H110" s="17"/>
      <c r="I110" s="21"/>
      <c r="J110" s="17"/>
      <c r="K110" s="21"/>
      <c r="Q110">
        <f>ROUND((Source!DN80/100)*ROUND((ROUND((Source!AF80*Source!AV80*Source!I80),2)),2), 2)</f>
        <v>0</v>
      </c>
      <c r="R110">
        <f>Source!X80</f>
        <v>0</v>
      </c>
      <c r="S110">
        <f>ROUND((Source!DO80/100)*ROUND((ROUND((Source!AF80*Source!AV80*Source!I80),2)),2), 2)</f>
        <v>0</v>
      </c>
      <c r="T110">
        <f>Source!Y80</f>
        <v>0</v>
      </c>
      <c r="U110">
        <f>ROUND((175/100)*ROUND((ROUND((Source!AE80*Source!AV80*Source!I80),2)),2), 2)</f>
        <v>0</v>
      </c>
      <c r="V110">
        <f>ROUND((157/100)*ROUND(ROUND((ROUND((Source!AE80*Source!AV80*Source!I80),2)*Source!BS80),2), 2), 2)</f>
        <v>0</v>
      </c>
    </row>
    <row r="111" spans="1:27" x14ac:dyDescent="0.2">
      <c r="C111" s="31" t="str">
        <f>"Объем: "&amp;Source!I80&amp;"="&amp;Source!I79&amp;"*"&amp;"100"</f>
        <v>Объем: 220,2=2,202*100</v>
      </c>
    </row>
    <row r="112" spans="1:27" ht="14.25" x14ac:dyDescent="0.2">
      <c r="A112" s="15"/>
      <c r="B112" s="16"/>
      <c r="C112" s="16" t="s">
        <v>480</v>
      </c>
      <c r="D112" s="18"/>
      <c r="E112" s="17"/>
      <c r="F112" s="20">
        <f>Source!AM80</f>
        <v>73.78</v>
      </c>
      <c r="G112" s="19" t="str">
        <f>Source!DE80</f>
        <v/>
      </c>
      <c r="H112" s="17">
        <f>Source!AV80</f>
        <v>1</v>
      </c>
      <c r="I112" s="21">
        <f>(ROUND((ROUND(((Source!ET80+(SUM(SmtRes!BD32:'SmtRes'!BD32)+SUM(EtalonRes!AM30:'EtalonRes'!AM30)))*Source!AV80*Source!I80),2)),2)+ROUND((ROUND(((Source!AE80-(Source!EU80))*Source!AV80*Source!I80),2)),2))</f>
        <v>9990.4699999999993</v>
      </c>
      <c r="J112" s="17">
        <f>IF(Source!BB80&lt;&gt; 0, Source!BB80, 1)</f>
        <v>9.5299999999999994</v>
      </c>
      <c r="K112" s="21">
        <f>Source!Q80</f>
        <v>95209.18</v>
      </c>
    </row>
    <row r="113" spans="1:38" ht="15" x14ac:dyDescent="0.25">
      <c r="A113" s="30"/>
      <c r="B113" s="30"/>
      <c r="C113" s="30"/>
      <c r="D113" s="30"/>
      <c r="E113" s="30"/>
      <c r="F113" s="30"/>
      <c r="G113" s="30"/>
      <c r="H113" s="74">
        <f>I112</f>
        <v>9990.4699999999993</v>
      </c>
      <c r="I113" s="74"/>
      <c r="J113" s="74">
        <f>K112</f>
        <v>95209.18</v>
      </c>
      <c r="K113" s="74"/>
      <c r="O113" s="28">
        <f>I112</f>
        <v>9990.4699999999993</v>
      </c>
      <c r="P113" s="28">
        <f>K112</f>
        <v>95209.18</v>
      </c>
      <c r="X113">
        <f>IF(Source!BI80&lt;=1,I112-0, 0)</f>
        <v>0</v>
      </c>
      <c r="Y113">
        <f>IF(Source!BI80=2,I112-0, 0)</f>
        <v>0</v>
      </c>
      <c r="Z113">
        <f>IF(Source!BI80=3,I112-0, 0)</f>
        <v>0</v>
      </c>
      <c r="AA113">
        <f>IF(Source!BI80=4,I112,0)</f>
        <v>9990.4699999999993</v>
      </c>
    </row>
    <row r="114" spans="1:38" ht="71.25" x14ac:dyDescent="0.2">
      <c r="A114" s="15" t="str">
        <f>Source!E81</f>
        <v>12</v>
      </c>
      <c r="B114" s="16" t="str">
        <f>Source!F81</f>
        <v>15.1-0-9</v>
      </c>
      <c r="C114" s="16" t="s">
        <v>59</v>
      </c>
      <c r="D114" s="18" t="str">
        <f>Source!H81</f>
        <v>1 Т</v>
      </c>
      <c r="E114" s="17">
        <f>Source!I81</f>
        <v>396.36</v>
      </c>
      <c r="F114" s="20"/>
      <c r="G114" s="19"/>
      <c r="H114" s="17"/>
      <c r="I114" s="21"/>
      <c r="J114" s="17"/>
      <c r="K114" s="21"/>
      <c r="Q114">
        <f>ROUND((Source!DN81/100)*ROUND((ROUND((Source!AF81*Source!AV81*Source!I81),2)),2), 2)</f>
        <v>0</v>
      </c>
      <c r="R114">
        <f>Source!X81</f>
        <v>0</v>
      </c>
      <c r="S114">
        <f>ROUND((Source!DO81/100)*ROUND((ROUND((Source!AF81*Source!AV81*Source!I81),2)),2), 2)</f>
        <v>0</v>
      </c>
      <c r="T114">
        <f>Source!Y81</f>
        <v>0</v>
      </c>
      <c r="U114">
        <f>ROUND((175/100)*ROUND((ROUND((Source!AE81*Source!AV81*Source!I81),2)),2), 2)</f>
        <v>0</v>
      </c>
      <c r="V114">
        <f>ROUND((157/100)*ROUND(ROUND((ROUND((Source!AE81*Source!AV81*Source!I81),2)*Source!BS81),2), 2), 2)</f>
        <v>0</v>
      </c>
    </row>
    <row r="115" spans="1:38" x14ac:dyDescent="0.2">
      <c r="C115" s="31" t="str">
        <f>"Объем: "&amp;Source!I81&amp;"="&amp;Source!I80&amp;"*"&amp;"1,8"</f>
        <v>Объем: 396,36=220,2*1,8</v>
      </c>
    </row>
    <row r="116" spans="1:38" ht="14.25" x14ac:dyDescent="0.2">
      <c r="A116" s="15"/>
      <c r="B116" s="16"/>
      <c r="C116" s="16" t="s">
        <v>480</v>
      </c>
      <c r="D116" s="18"/>
      <c r="E116" s="17"/>
      <c r="F116" s="20">
        <f>Source!AM81</f>
        <v>43.28</v>
      </c>
      <c r="G116" s="19" t="str">
        <f>Source!DE81</f>
        <v/>
      </c>
      <c r="H116" s="17">
        <f>Source!AV81</f>
        <v>1</v>
      </c>
      <c r="I116" s="21">
        <f>(ROUND((ROUND(((Source!ET81)*Source!AV81*Source!I81),2)),2)+ROUND((ROUND(((Source!AE81-(Source!EU81))*Source!AV81*Source!I81),2)),2))</f>
        <v>17154.46</v>
      </c>
      <c r="J116" s="17">
        <f>IF(Source!BB81&lt;&gt; 0, Source!BB81, 1)</f>
        <v>2.87</v>
      </c>
      <c r="K116" s="21">
        <f>Source!Q81</f>
        <v>49233.3</v>
      </c>
    </row>
    <row r="117" spans="1:38" ht="15" x14ac:dyDescent="0.25">
      <c r="A117" s="30"/>
      <c r="B117" s="30"/>
      <c r="C117" s="30"/>
      <c r="D117" s="30"/>
      <c r="E117" s="30"/>
      <c r="F117" s="30"/>
      <c r="G117" s="30"/>
      <c r="H117" s="74">
        <f>I116</f>
        <v>17154.46</v>
      </c>
      <c r="I117" s="74"/>
      <c r="J117" s="74">
        <f>K116</f>
        <v>49233.3</v>
      </c>
      <c r="K117" s="74"/>
      <c r="O117" s="28">
        <f>I116</f>
        <v>17154.46</v>
      </c>
      <c r="P117" s="28">
        <f>K116</f>
        <v>49233.3</v>
      </c>
      <c r="X117">
        <f>IF(Source!BI81&lt;=1,I116-0, 0)</f>
        <v>0</v>
      </c>
      <c r="Y117">
        <f>IF(Source!BI81=2,I116-0, 0)</f>
        <v>0</v>
      </c>
      <c r="Z117">
        <f>IF(Source!BI81=3,I116-0, 0)</f>
        <v>0</v>
      </c>
      <c r="AA117">
        <f>IF(Source!BI81=4,I116,0)</f>
        <v>17154.46</v>
      </c>
    </row>
    <row r="118" spans="1:38" ht="42.75" x14ac:dyDescent="0.2">
      <c r="A118" s="15" t="str">
        <f>Source!E82</f>
        <v>13</v>
      </c>
      <c r="B118" s="16" t="str">
        <f>Source!F82</f>
        <v>15.1-26-11</v>
      </c>
      <c r="C118" s="16" t="s">
        <v>64</v>
      </c>
      <c r="D118" s="18" t="str">
        <f>Source!H82</f>
        <v>1 Т</v>
      </c>
      <c r="E118" s="17">
        <f>Source!I82</f>
        <v>80.962999999999994</v>
      </c>
      <c r="F118" s="20"/>
      <c r="G118" s="19"/>
      <c r="H118" s="17"/>
      <c r="I118" s="21"/>
      <c r="J118" s="17"/>
      <c r="K118" s="21"/>
      <c r="Q118">
        <f>ROUND((Source!DN82/100)*ROUND((ROUND((Source!AF82*Source!AV82*Source!I82),2)),2), 2)</f>
        <v>0</v>
      </c>
      <c r="R118">
        <f>Source!X82</f>
        <v>0</v>
      </c>
      <c r="S118">
        <f>ROUND((Source!DO82/100)*ROUND((ROUND((Source!AF82*Source!AV82*Source!I82),2)),2), 2)</f>
        <v>0</v>
      </c>
      <c r="T118">
        <f>Source!Y82</f>
        <v>0</v>
      </c>
      <c r="U118">
        <f>ROUND((175/100)*ROUND((ROUND((Source!AE82*Source!AV82*Source!I82),2)),2), 2)</f>
        <v>0</v>
      </c>
      <c r="V118">
        <f>ROUND((157/100)*ROUND(ROUND((ROUND((Source!AE82*Source!AV82*Source!I82),2)*Source!BS82),2), 2), 2)</f>
        <v>0</v>
      </c>
    </row>
    <row r="119" spans="1:38" ht="14.25" x14ac:dyDescent="0.2">
      <c r="A119" s="15"/>
      <c r="B119" s="16"/>
      <c r="C119" s="16" t="s">
        <v>480</v>
      </c>
      <c r="D119" s="18"/>
      <c r="E119" s="17"/>
      <c r="F119" s="20">
        <f>Source!AM82</f>
        <v>27.91</v>
      </c>
      <c r="G119" s="19" t="str">
        <f>Source!DE82</f>
        <v/>
      </c>
      <c r="H119" s="17">
        <f>Source!AV82</f>
        <v>1</v>
      </c>
      <c r="I119" s="21">
        <f>(ROUND((ROUND(((Source!ET82)*Source!AV82*Source!I82),2)),2)+ROUND((ROUND(((Source!AE82-(Source!EU82))*Source!AV82*Source!I82),2)),2))</f>
        <v>2259.6799999999998</v>
      </c>
      <c r="J119" s="17">
        <f>IF(Source!BB82&lt;&gt; 0, Source!BB82, 1)</f>
        <v>8.66</v>
      </c>
      <c r="K119" s="21">
        <f>Source!Q82</f>
        <v>19568.830000000002</v>
      </c>
    </row>
    <row r="120" spans="1:38" ht="15" x14ac:dyDescent="0.25">
      <c r="A120" s="30"/>
      <c r="B120" s="30"/>
      <c r="C120" s="30"/>
      <c r="D120" s="30"/>
      <c r="E120" s="30"/>
      <c r="F120" s="30"/>
      <c r="G120" s="30"/>
      <c r="H120" s="74">
        <f>I119</f>
        <v>2259.6799999999998</v>
      </c>
      <c r="I120" s="74"/>
      <c r="J120" s="74">
        <f>K119</f>
        <v>19568.830000000002</v>
      </c>
      <c r="K120" s="74"/>
      <c r="O120" s="28">
        <f>I119</f>
        <v>2259.6799999999998</v>
      </c>
      <c r="P120" s="28">
        <f>K119</f>
        <v>19568.830000000002</v>
      </c>
      <c r="X120">
        <f>IF(Source!BI82&lt;=1,I119-0, 0)</f>
        <v>0</v>
      </c>
      <c r="Y120">
        <f>IF(Source!BI82=2,I119-0, 0)</f>
        <v>0</v>
      </c>
      <c r="Z120">
        <f>IF(Source!BI82=3,I119-0, 0)</f>
        <v>0</v>
      </c>
      <c r="AA120">
        <f>IF(Source!BI82=4,I119,0)</f>
        <v>2259.6799999999998</v>
      </c>
    </row>
    <row r="121" spans="1:38" ht="14.25" x14ac:dyDescent="0.2">
      <c r="A121" s="15" t="str">
        <f>Source!E83</f>
        <v>14</v>
      </c>
      <c r="B121" s="16" t="str">
        <f>Source!F83</f>
        <v>15.1-0-1</v>
      </c>
      <c r="C121" s="16" t="s">
        <v>70</v>
      </c>
      <c r="D121" s="18" t="str">
        <f>Source!H83</f>
        <v>1 Т</v>
      </c>
      <c r="E121" s="17">
        <f>Source!I83</f>
        <v>80.962999999999994</v>
      </c>
      <c r="F121" s="20"/>
      <c r="G121" s="19"/>
      <c r="H121" s="17"/>
      <c r="I121" s="21"/>
      <c r="J121" s="17"/>
      <c r="K121" s="21"/>
      <c r="Q121">
        <f>ROUND((Source!DN83/100)*ROUND((ROUND((Source!AF83*Source!AV83*Source!I83),2)),2), 2)</f>
        <v>0</v>
      </c>
      <c r="R121">
        <f>Source!X83</f>
        <v>0</v>
      </c>
      <c r="S121">
        <f>ROUND((Source!DO83/100)*ROUND((ROUND((Source!AF83*Source!AV83*Source!I83),2)),2), 2)</f>
        <v>0</v>
      </c>
      <c r="T121">
        <f>Source!Y83</f>
        <v>0</v>
      </c>
      <c r="U121">
        <f>ROUND((175/100)*ROUND((ROUND((Source!AE83*Source!AV83*Source!I83),2)),2), 2)</f>
        <v>0</v>
      </c>
      <c r="V121">
        <f>ROUND((157/100)*ROUND(ROUND((ROUND((Source!AE83*Source!AV83*Source!I83),2)*Source!BS83),2), 2), 2)</f>
        <v>0</v>
      </c>
    </row>
    <row r="122" spans="1:38" ht="14.25" x14ac:dyDescent="0.2">
      <c r="A122" s="15"/>
      <c r="B122" s="16"/>
      <c r="C122" s="16" t="s">
        <v>480</v>
      </c>
      <c r="D122" s="18"/>
      <c r="E122" s="17"/>
      <c r="F122" s="20">
        <f>Source!AM83</f>
        <v>101</v>
      </c>
      <c r="G122" s="19" t="str">
        <f>Source!DE83</f>
        <v/>
      </c>
      <c r="H122" s="17">
        <f>Source!AV83</f>
        <v>1</v>
      </c>
      <c r="I122" s="21">
        <f>(ROUND((ROUND(((Source!ET83)*Source!AV83*Source!I83),2)),2)+ROUND((ROUND(((Source!AE83-(Source!EU83))*Source!AV83*Source!I83),2)),2))</f>
        <v>8177.26</v>
      </c>
      <c r="J122" s="17">
        <f>IF(Source!BB83&lt;&gt; 0, Source!BB83, 1)</f>
        <v>2.14</v>
      </c>
      <c r="K122" s="21">
        <f>Source!Q83</f>
        <v>17499.34</v>
      </c>
    </row>
    <row r="123" spans="1:38" ht="15" x14ac:dyDescent="0.25">
      <c r="A123" s="30"/>
      <c r="B123" s="30"/>
      <c r="C123" s="30"/>
      <c r="D123" s="30"/>
      <c r="E123" s="30"/>
      <c r="F123" s="30"/>
      <c r="G123" s="30"/>
      <c r="H123" s="74">
        <f>I122</f>
        <v>8177.26</v>
      </c>
      <c r="I123" s="74"/>
      <c r="J123" s="74">
        <f>K122</f>
        <v>17499.34</v>
      </c>
      <c r="K123" s="74"/>
      <c r="O123" s="28">
        <f>I122</f>
        <v>8177.26</v>
      </c>
      <c r="P123" s="28">
        <f>K122</f>
        <v>17499.34</v>
      </c>
      <c r="X123">
        <f>IF(Source!BI83&lt;=1,I122-0, 0)</f>
        <v>0</v>
      </c>
      <c r="Y123">
        <f>IF(Source!BI83=2,I122-0, 0)</f>
        <v>0</v>
      </c>
      <c r="Z123">
        <f>IF(Source!BI83=3,I122-0, 0)</f>
        <v>0</v>
      </c>
      <c r="AA123">
        <f>IF(Source!BI83=4,I122,0)</f>
        <v>8177.26</v>
      </c>
    </row>
    <row r="125" spans="1:38" ht="15" x14ac:dyDescent="0.25">
      <c r="A125" s="76" t="str">
        <f>CONCATENATE("Итого по разделу: ",IF(Source!G85&lt;&gt;"Новый раздел", Source!G85, ""))</f>
        <v>Итого по разделу: ТЕПЛОВАЯ СЕТЬ 2Ду100 в ППУ-ПЭ непроходном канале - 20.5м</v>
      </c>
      <c r="B125" s="76"/>
      <c r="C125" s="76"/>
      <c r="D125" s="76"/>
      <c r="E125" s="76"/>
      <c r="F125" s="76"/>
      <c r="G125" s="76"/>
      <c r="H125" s="61">
        <f>SUM(O76:O124)</f>
        <v>308575.37</v>
      </c>
      <c r="I125" s="75"/>
      <c r="J125" s="61">
        <f>SUM(P76:P124)</f>
        <v>2438697.0199999996</v>
      </c>
      <c r="K125" s="75"/>
      <c r="AL125" s="33" t="str">
        <f>CONCATENATE("Итого по разделу: ",IF(Source!G85&lt;&gt;"Новый раздел", Source!G85, ""))</f>
        <v>Итого по разделу: ТЕПЛОВАЯ СЕТЬ 2Ду100 в ППУ-ПЭ непроходном канале - 20.5м</v>
      </c>
    </row>
    <row r="126" spans="1:38" ht="15" x14ac:dyDescent="0.25">
      <c r="A126" s="76" t="s">
        <v>488</v>
      </c>
      <c r="B126" s="76"/>
      <c r="C126" s="76"/>
      <c r="D126" s="76"/>
      <c r="E126" s="76"/>
      <c r="F126" s="76"/>
      <c r="G126" s="76"/>
      <c r="H126" s="61">
        <f>SUM(AC76:AC125)</f>
        <v>247485.57</v>
      </c>
      <c r="I126" s="75"/>
      <c r="J126" s="61">
        <f>SUM(AD76:AD125)</f>
        <v>2098851.61</v>
      </c>
      <c r="K126" s="75"/>
    </row>
    <row r="127" spans="1:38" hidden="1" x14ac:dyDescent="0.2">
      <c r="A127" t="s">
        <v>489</v>
      </c>
      <c r="I127">
        <f>SUM(AE76:AE126)</f>
        <v>0</v>
      </c>
      <c r="J127">
        <f>SUM(AF76:AF126)</f>
        <v>0</v>
      </c>
    </row>
    <row r="129" spans="1:30" ht="16.5" x14ac:dyDescent="0.25">
      <c r="A129" s="73" t="str">
        <f>CONCATENATE("Раздел: ",IF(Source!G114&lt;&gt;"Новый раздел", Source!G114, ""))</f>
        <v>Раздел: ТЕПЛОВАЯ КАМЕРА монолитная 3.5х3.5х2,0(h)м   - 1шт</v>
      </c>
      <c r="B129" s="73"/>
      <c r="C129" s="73"/>
      <c r="D129" s="73"/>
      <c r="E129" s="73"/>
      <c r="F129" s="73"/>
      <c r="G129" s="73"/>
      <c r="H129" s="73"/>
      <c r="I129" s="73"/>
      <c r="J129" s="73"/>
      <c r="K129" s="73"/>
    </row>
    <row r="130" spans="1:30" ht="55.5" x14ac:dyDescent="0.2">
      <c r="A130" s="15" t="str">
        <f>Source!E118</f>
        <v>15</v>
      </c>
      <c r="B130" s="16" t="str">
        <f>Source!F118</f>
        <v>16.1-2601-2</v>
      </c>
      <c r="C130" s="16" t="s">
        <v>493</v>
      </c>
      <c r="D130" s="18" t="str">
        <f>Source!H118</f>
        <v>1 КАМЕРА</v>
      </c>
      <c r="E130" s="17">
        <f>Source!I118</f>
        <v>1</v>
      </c>
      <c r="F130" s="20"/>
      <c r="G130" s="19"/>
      <c r="H130" s="17"/>
      <c r="I130" s="21"/>
      <c r="J130" s="17"/>
      <c r="K130" s="21"/>
      <c r="Q130">
        <f>ROUND((Source!DN118/100)*ROUND((ROUND((Source!AF118*Source!AV118*Source!I118),2)),2), 2)</f>
        <v>0</v>
      </c>
      <c r="R130">
        <f>Source!X118</f>
        <v>0</v>
      </c>
      <c r="S130">
        <f>ROUND((Source!DO118/100)*ROUND((ROUND((Source!AF118*Source!AV118*Source!I118),2)),2), 2)</f>
        <v>0</v>
      </c>
      <c r="T130">
        <f>Source!Y118</f>
        <v>0</v>
      </c>
      <c r="U130">
        <f>ROUND((175/100)*ROUND((ROUND((Source!AE118*Source!AV118*Source!I118),2)),2), 2)</f>
        <v>0</v>
      </c>
      <c r="V130">
        <f>ROUND((157/100)*ROUND(ROUND((ROUND((Source!AE118*Source!AV118*Source!I118),2)*Source!BS118),2), 2), 2)</f>
        <v>0</v>
      </c>
    </row>
    <row r="131" spans="1:30" ht="14.25" x14ac:dyDescent="0.2">
      <c r="A131" s="15"/>
      <c r="B131" s="16"/>
      <c r="C131" s="16" t="s">
        <v>471</v>
      </c>
      <c r="D131" s="18"/>
      <c r="E131" s="17"/>
      <c r="F131" s="20"/>
      <c r="G131" s="19"/>
      <c r="H131" s="17"/>
      <c r="I131" s="21">
        <f>I132+I133+I134+I135+SUM(I136:I137)</f>
        <v>35981.26</v>
      </c>
      <c r="J131" s="17"/>
      <c r="K131" s="21">
        <f>K132+K133+K134+K135+SUM(K136:K137)</f>
        <v>301860.52999999997</v>
      </c>
    </row>
    <row r="132" spans="1:30" ht="14.25" x14ac:dyDescent="0.2">
      <c r="A132" s="15"/>
      <c r="B132" s="16"/>
      <c r="C132" s="16" t="s">
        <v>472</v>
      </c>
      <c r="D132" s="18"/>
      <c r="E132" s="17"/>
      <c r="F132" s="20">
        <f>Source!AO118</f>
        <v>5941</v>
      </c>
      <c r="G132" s="19" t="str">
        <f>Source!DG118</f>
        <v>*1,15*0,767</v>
      </c>
      <c r="H132" s="17">
        <f>Source!AV118</f>
        <v>1</v>
      </c>
      <c r="I132" s="21">
        <f>ROUND((ROUND((Source!AF118*Source!AV118*Source!I118),2)),2)</f>
        <v>5240.26</v>
      </c>
      <c r="J132" s="17">
        <f>IF(Source!BA118&lt;&gt; 0, Source!BA118, 1)</f>
        <v>19.079999999999998</v>
      </c>
      <c r="K132" s="21">
        <f>Source!GZ118</f>
        <v>99984.16</v>
      </c>
    </row>
    <row r="133" spans="1:30" ht="14.25" x14ac:dyDescent="0.2">
      <c r="A133" s="15"/>
      <c r="B133" s="16"/>
      <c r="C133" s="16" t="s">
        <v>473</v>
      </c>
      <c r="D133" s="18"/>
      <c r="E133" s="17"/>
      <c r="F133" s="20">
        <f>Source!AM118</f>
        <v>2012</v>
      </c>
      <c r="G133" s="19" t="str">
        <f>Source!DE118</f>
        <v>*1,15*0,767</v>
      </c>
      <c r="H133" s="17">
        <f>Source!AV118</f>
        <v>1</v>
      </c>
      <c r="I133" s="21">
        <f>(ROUND((ROUND((((Source!ET118*1.15*0.767))*Source!AV118*Source!I118),2)),2)+ROUND((ROUND(((Source!AE118-((Source!EU118*1.15*0.767)))*Source!AV118*Source!I118),2)),2))</f>
        <v>1774.68</v>
      </c>
      <c r="J133" s="17">
        <f>IF(Source!BB118&lt;&gt; 0, Source!BB118, 1)</f>
        <v>11.44</v>
      </c>
      <c r="K133" s="21">
        <f>Source!GY118</f>
        <v>20302.34</v>
      </c>
    </row>
    <row r="134" spans="1:30" ht="14.25" x14ac:dyDescent="0.2">
      <c r="A134" s="15"/>
      <c r="B134" s="16"/>
      <c r="C134" s="16" t="s">
        <v>474</v>
      </c>
      <c r="D134" s="18"/>
      <c r="E134" s="17"/>
      <c r="F134" s="20">
        <f>Source!AL118</f>
        <v>38445</v>
      </c>
      <c r="G134" s="19" t="str">
        <f>Source!DD118</f>
        <v>*0,767</v>
      </c>
      <c r="H134" s="17">
        <f>Source!AW118</f>
        <v>1</v>
      </c>
      <c r="I134" s="21">
        <f>ROUND((ROUND((Source!AC118*Source!AW118*Source!I118),2)),2)</f>
        <v>29487.32</v>
      </c>
      <c r="J134" s="17">
        <f>IF(Source!BC118&lt;&gt; 0, Source!BC118, 1)</f>
        <v>6.26</v>
      </c>
      <c r="K134" s="21">
        <f>Source!P118</f>
        <v>184590.62</v>
      </c>
    </row>
    <row r="135" spans="1:30" ht="14.25" x14ac:dyDescent="0.2">
      <c r="A135" s="15"/>
      <c r="B135" s="16"/>
      <c r="C135" s="16" t="s">
        <v>475</v>
      </c>
      <c r="D135" s="18"/>
      <c r="E135" s="17"/>
      <c r="F135" s="20">
        <f>Source!GT118</f>
        <v>-521</v>
      </c>
      <c r="G135" s="19" t="str">
        <f>Source!GU118</f>
        <v/>
      </c>
      <c r="H135" s="17"/>
      <c r="I135" s="21">
        <f>ROUND(Source!GV118*Source!I118, 2)</f>
        <v>-521</v>
      </c>
      <c r="J135" s="17">
        <f>IF(Source!GW118&lt;&gt; 0, Source!GW118, 1)</f>
        <v>5.79</v>
      </c>
      <c r="K135" s="21">
        <f>Source!GX118</f>
        <v>-3016.59</v>
      </c>
    </row>
    <row r="136" spans="1:30" ht="28.5" x14ac:dyDescent="0.2">
      <c r="A136" s="15" t="str">
        <f>Source!E119</f>
        <v>15,1</v>
      </c>
      <c r="B136" s="16" t="str">
        <f>Source!F119</f>
        <v>9999990001</v>
      </c>
      <c r="C136" s="16" t="s">
        <v>28</v>
      </c>
      <c r="D136" s="18" t="str">
        <f>Source!H119</f>
        <v>т</v>
      </c>
      <c r="E136" s="17">
        <f>Source!I119</f>
        <v>0.257712</v>
      </c>
      <c r="F136" s="20">
        <f>Source!AK119</f>
        <v>0</v>
      </c>
      <c r="G136" s="22" t="s">
        <v>494</v>
      </c>
      <c r="H136" s="17">
        <f>Source!AW119</f>
        <v>1</v>
      </c>
      <c r="I136" s="21">
        <f>ROUND((ROUND((Source!AC119*Source!AW119*Source!I119),2)),2)+(ROUND((ROUND(((Source!ET119)*Source!AV119*Source!I119),2)),2)+ROUND((ROUND(((Source!AE119-(Source!EU119))*Source!AV119*Source!I119),2)),2))+ROUND((ROUND((Source!AF119*Source!AV119*Source!I119),2)),2)</f>
        <v>0</v>
      </c>
      <c r="J136" s="17">
        <f>IF(Source!BC119&lt;&gt; 0, Source!BC119, 1)</f>
        <v>1</v>
      </c>
      <c r="K136" s="21">
        <f>Source!O119</f>
        <v>0</v>
      </c>
      <c r="Q136">
        <f>ROUND((Source!DN119/100)*ROUND((ROUND((Source!AF119*Source!AV119*Source!I119),2)),2), 2)</f>
        <v>0</v>
      </c>
      <c r="R136">
        <f>Source!X119</f>
        <v>0</v>
      </c>
      <c r="S136">
        <f>ROUND((Source!DO119/100)*ROUND((ROUND((Source!AF119*Source!AV119*Source!I119),2)),2), 2)</f>
        <v>0</v>
      </c>
      <c r="T136">
        <f>Source!Y119</f>
        <v>0</v>
      </c>
      <c r="U136">
        <f>ROUND((175/100)*ROUND((ROUND((Source!AE119*Source!AV119*Source!I119),2)),2), 2)</f>
        <v>0</v>
      </c>
      <c r="V136">
        <f>ROUND((157/100)*ROUND(ROUND((ROUND((Source!AE119*Source!AV119*Source!I119),2)*Source!BS119),2), 2), 2)</f>
        <v>0</v>
      </c>
      <c r="X136">
        <f>IF(Source!BI119&lt;=1,I136, 0)</f>
        <v>0</v>
      </c>
      <c r="Y136">
        <f>IF(Source!BI119=2,I136, 0)</f>
        <v>0</v>
      </c>
      <c r="Z136">
        <f>IF(Source!BI119=3,I136, 0)</f>
        <v>0</v>
      </c>
      <c r="AA136">
        <f>IF(Source!BI119=4,I136, 0)</f>
        <v>0</v>
      </c>
    </row>
    <row r="137" spans="1:30" ht="28.5" x14ac:dyDescent="0.2">
      <c r="A137" s="15" t="str">
        <f>Source!E120</f>
        <v>15,2</v>
      </c>
      <c r="B137" s="16" t="str">
        <f>Source!F120</f>
        <v>9999990004</v>
      </c>
      <c r="C137" s="16" t="s">
        <v>32</v>
      </c>
      <c r="D137" s="18" t="str">
        <f>Source!H120</f>
        <v>м3</v>
      </c>
      <c r="E137" s="17">
        <f>Source!I120</f>
        <v>18.354310000000002</v>
      </c>
      <c r="F137" s="20">
        <f>Source!AK120</f>
        <v>0</v>
      </c>
      <c r="G137" s="22" t="s">
        <v>494</v>
      </c>
      <c r="H137" s="17">
        <f>Source!AW120</f>
        <v>1</v>
      </c>
      <c r="I137" s="21">
        <f>ROUND((ROUND((Source!AC120*Source!AW120*Source!I120),2)),2)+(ROUND((ROUND(((Source!ET120)*Source!AV120*Source!I120),2)),2)+ROUND((ROUND(((Source!AE120-(Source!EU120))*Source!AV120*Source!I120),2)),2))+ROUND((ROUND((Source!AF120*Source!AV120*Source!I120),2)),2)</f>
        <v>0</v>
      </c>
      <c r="J137" s="17">
        <f>IF(Source!BC120&lt;&gt; 0, Source!BC120, 1)</f>
        <v>1</v>
      </c>
      <c r="K137" s="21">
        <f>Source!O120</f>
        <v>0</v>
      </c>
      <c r="Q137">
        <f>ROUND((Source!DN120/100)*ROUND((ROUND((Source!AF120*Source!AV120*Source!I120),2)),2), 2)</f>
        <v>0</v>
      </c>
      <c r="R137">
        <f>Source!X120</f>
        <v>0</v>
      </c>
      <c r="S137">
        <f>ROUND((Source!DO120/100)*ROUND((ROUND((Source!AF120*Source!AV120*Source!I120),2)),2), 2)</f>
        <v>0</v>
      </c>
      <c r="T137">
        <f>Source!Y120</f>
        <v>0</v>
      </c>
      <c r="U137">
        <f>ROUND((175/100)*ROUND((ROUND((Source!AE120*Source!AV120*Source!I120),2)),2), 2)</f>
        <v>0</v>
      </c>
      <c r="V137">
        <f>ROUND((157/100)*ROUND(ROUND((ROUND((Source!AE120*Source!AV120*Source!I120),2)*Source!BS120),2), 2), 2)</f>
        <v>0</v>
      </c>
      <c r="X137">
        <f>IF(Source!BI120&lt;=1,I137, 0)</f>
        <v>0</v>
      </c>
      <c r="Y137">
        <f>IF(Source!BI120=2,I137, 0)</f>
        <v>0</v>
      </c>
      <c r="Z137">
        <f>IF(Source!BI120=3,I137, 0)</f>
        <v>0</v>
      </c>
      <c r="AA137">
        <f>IF(Source!BI120=4,I137, 0)</f>
        <v>0</v>
      </c>
    </row>
    <row r="138" spans="1:30" ht="14.25" x14ac:dyDescent="0.2">
      <c r="A138" s="23"/>
      <c r="B138" s="24"/>
      <c r="C138" s="24" t="s">
        <v>477</v>
      </c>
      <c r="D138" s="18"/>
      <c r="E138" s="25"/>
      <c r="F138" s="26">
        <f>Source!HA118</f>
        <v>23.93</v>
      </c>
      <c r="G138" s="18"/>
      <c r="H138" s="25"/>
      <c r="I138" s="27"/>
      <c r="J138" s="25"/>
      <c r="K138" s="26">
        <f>Source!HA118*Source!I118</f>
        <v>23.93</v>
      </c>
    </row>
    <row r="139" spans="1:30" ht="14.25" x14ac:dyDescent="0.2">
      <c r="A139" s="23"/>
      <c r="B139" s="24"/>
      <c r="C139" s="24" t="s">
        <v>478</v>
      </c>
      <c r="D139" s="18"/>
      <c r="E139" s="25"/>
      <c r="F139" s="26">
        <f>Source!HB118</f>
        <v>0.33600000000000002</v>
      </c>
      <c r="G139" s="18"/>
      <c r="H139" s="25"/>
      <c r="I139" s="27"/>
      <c r="J139" s="25"/>
      <c r="K139" s="26">
        <f>Source!HB118*Source!I118</f>
        <v>0.33600000000000002</v>
      </c>
    </row>
    <row r="140" spans="1:30" ht="15" x14ac:dyDescent="0.25">
      <c r="A140" s="30"/>
      <c r="B140" s="30"/>
      <c r="C140" s="30"/>
      <c r="D140" s="30"/>
      <c r="E140" s="30"/>
      <c r="F140" s="30"/>
      <c r="G140" s="30"/>
      <c r="H140" s="74">
        <f>I132+I133+I134+I135+SUM(I136:I137)</f>
        <v>35981.26</v>
      </c>
      <c r="I140" s="74"/>
      <c r="J140" s="74">
        <f>K132+K133+K134+K135+SUM(K136:K137)</f>
        <v>301860.52999999997</v>
      </c>
      <c r="K140" s="74"/>
      <c r="O140" s="28">
        <f>I132+I133+I134+I135+SUM(I136:I137)</f>
        <v>35981.26</v>
      </c>
      <c r="P140" s="28">
        <f>K132+K133+K134+K135+SUM(K136:K137)</f>
        <v>301860.52999999997</v>
      </c>
      <c r="X140">
        <f>IF(Source!BI118&lt;=1,I132+I133+I134+I135-I135, 0)</f>
        <v>36502.26</v>
      </c>
      <c r="Y140">
        <f>IF(Source!BI118=2,I132+I133+I134+I135-I135, 0)</f>
        <v>0</v>
      </c>
      <c r="Z140">
        <f>IF(Source!BI118=3,I132+I133+I134+I135-I135, 0)</f>
        <v>0</v>
      </c>
      <c r="AA140">
        <f>IF(Source!BI118=4,I132+I133+I134+I135,I135)</f>
        <v>-521</v>
      </c>
      <c r="AC140" s="28">
        <f>I132+I133+I134+I135+SUM(I136:I137)</f>
        <v>35981.26</v>
      </c>
      <c r="AD140" s="28">
        <f>K132+K133+K134+K135+SUM(K136:K137)</f>
        <v>301860.52999999997</v>
      </c>
    </row>
    <row r="141" spans="1:30" ht="41.25" x14ac:dyDescent="0.2">
      <c r="A141" s="15" t="str">
        <f>Source!E121</f>
        <v>16</v>
      </c>
      <c r="B141" s="16" t="str">
        <f>Source!F121</f>
        <v>16.1-2603-1</v>
      </c>
      <c r="C141" s="16" t="s">
        <v>495</v>
      </c>
      <c r="D141" s="18" t="str">
        <f>Source!H121</f>
        <v>1 УЗЕЛ</v>
      </c>
      <c r="E141" s="17">
        <f>Source!I121</f>
        <v>1</v>
      </c>
      <c r="F141" s="20"/>
      <c r="G141" s="19"/>
      <c r="H141" s="17"/>
      <c r="I141" s="21"/>
      <c r="J141" s="17"/>
      <c r="K141" s="21"/>
      <c r="Q141">
        <f>ROUND((Source!DN121/100)*ROUND((ROUND((Source!AF121*Source!AV121*Source!I121),2)),2), 2)</f>
        <v>0</v>
      </c>
      <c r="R141">
        <f>Source!X121</f>
        <v>0</v>
      </c>
      <c r="S141">
        <f>ROUND((Source!DO121/100)*ROUND((ROUND((Source!AF121*Source!AV121*Source!I121),2)),2), 2)</f>
        <v>0</v>
      </c>
      <c r="T141">
        <f>Source!Y121</f>
        <v>0</v>
      </c>
      <c r="U141">
        <f>ROUND((175/100)*ROUND((ROUND((Source!AE121*Source!AV121*Source!I121),2)),2), 2)</f>
        <v>0</v>
      </c>
      <c r="V141">
        <f>ROUND((157/100)*ROUND(ROUND((ROUND((Source!AE121*Source!AV121*Source!I121),2)*Source!BS121),2), 2), 2)</f>
        <v>0</v>
      </c>
    </row>
    <row r="142" spans="1:30" ht="14.25" x14ac:dyDescent="0.2">
      <c r="A142" s="15"/>
      <c r="B142" s="16"/>
      <c r="C142" s="16" t="s">
        <v>471</v>
      </c>
      <c r="D142" s="18"/>
      <c r="E142" s="17"/>
      <c r="F142" s="20"/>
      <c r="G142" s="19"/>
      <c r="H142" s="17"/>
      <c r="I142" s="21">
        <f>I143+I144+I145</f>
        <v>41612.300000000003</v>
      </c>
      <c r="J142" s="17"/>
      <c r="K142" s="21">
        <f>K143+K144+K145</f>
        <v>349331.61</v>
      </c>
    </row>
    <row r="143" spans="1:30" ht="14.25" x14ac:dyDescent="0.2">
      <c r="A143" s="15"/>
      <c r="B143" s="16"/>
      <c r="C143" s="16" t="s">
        <v>472</v>
      </c>
      <c r="D143" s="18"/>
      <c r="E143" s="17"/>
      <c r="F143" s="20">
        <f>Source!AO121</f>
        <v>7504</v>
      </c>
      <c r="G143" s="19" t="str">
        <f>Source!DG121</f>
        <v>*1,15</v>
      </c>
      <c r="H143" s="17">
        <f>Source!AV121</f>
        <v>1</v>
      </c>
      <c r="I143" s="21">
        <f>ROUND((ROUND((Source!AF121*Source!AV121*Source!I121),2)),2)</f>
        <v>8629.6</v>
      </c>
      <c r="J143" s="17">
        <f>IF(Source!BA121&lt;&gt; 0, Source!BA121, 1)</f>
        <v>16.93</v>
      </c>
      <c r="K143" s="21">
        <f>Source!GZ121</f>
        <v>146099.13</v>
      </c>
    </row>
    <row r="144" spans="1:30" ht="14.25" x14ac:dyDescent="0.2">
      <c r="A144" s="15"/>
      <c r="B144" s="16"/>
      <c r="C144" s="16" t="s">
        <v>473</v>
      </c>
      <c r="D144" s="18"/>
      <c r="E144" s="17"/>
      <c r="F144" s="20">
        <f>Source!AM121</f>
        <v>5018</v>
      </c>
      <c r="G144" s="19" t="str">
        <f>Source!DE121</f>
        <v>*1,15</v>
      </c>
      <c r="H144" s="17">
        <f>Source!AV121</f>
        <v>1</v>
      </c>
      <c r="I144" s="21">
        <f>(ROUND((ROUND((((Source!ET121*1.15))*Source!AV121*Source!I121),2)),2)+ROUND((ROUND(((Source!AE121-((Source!EU121*1.15)))*Source!AV121*Source!I121),2)),2))</f>
        <v>5770.7</v>
      </c>
      <c r="J144" s="17">
        <f>IF(Source!BB121&lt;&gt; 0, Source!BB121, 1)</f>
        <v>10.65</v>
      </c>
      <c r="K144" s="21">
        <f>Source!GY121</f>
        <v>61457.96</v>
      </c>
    </row>
    <row r="145" spans="1:30" ht="14.25" x14ac:dyDescent="0.2">
      <c r="A145" s="15"/>
      <c r="B145" s="16"/>
      <c r="C145" s="16" t="s">
        <v>474</v>
      </c>
      <c r="D145" s="18"/>
      <c r="E145" s="17"/>
      <c r="F145" s="20">
        <f>Source!AL121</f>
        <v>27212</v>
      </c>
      <c r="G145" s="19" t="str">
        <f>Source!DD121</f>
        <v/>
      </c>
      <c r="H145" s="17">
        <f>Source!AW121</f>
        <v>1</v>
      </c>
      <c r="I145" s="21">
        <f>ROUND((ROUND((Source!AC121*Source!AW121*Source!I121),2)),2)</f>
        <v>27212</v>
      </c>
      <c r="J145" s="17">
        <f>IF(Source!BC121&lt;&gt; 0, Source!BC121, 1)</f>
        <v>5.21</v>
      </c>
      <c r="K145" s="21">
        <f>Source!P121</f>
        <v>141774.51999999999</v>
      </c>
    </row>
    <row r="146" spans="1:30" ht="15" x14ac:dyDescent="0.25">
      <c r="A146" s="30"/>
      <c r="B146" s="30"/>
      <c r="C146" s="30"/>
      <c r="D146" s="30"/>
      <c r="E146" s="30"/>
      <c r="F146" s="30"/>
      <c r="G146" s="30"/>
      <c r="H146" s="74">
        <f>I143+I144+I145</f>
        <v>41612.300000000003</v>
      </c>
      <c r="I146" s="74"/>
      <c r="J146" s="74">
        <f>K143+K144+K145</f>
        <v>349331.61</v>
      </c>
      <c r="K146" s="74"/>
      <c r="O146" s="28">
        <f>I143+I144+I145</f>
        <v>41612.300000000003</v>
      </c>
      <c r="P146" s="28">
        <f>K143+K144+K145</f>
        <v>349331.61</v>
      </c>
      <c r="X146">
        <f>IF(Source!BI121&lt;=1,I143+I144+I145-0, 0)</f>
        <v>41612.300000000003</v>
      </c>
      <c r="Y146">
        <f>IF(Source!BI121=2,I143+I144+I145-0, 0)</f>
        <v>0</v>
      </c>
      <c r="Z146">
        <f>IF(Source!BI121=3,I143+I144+I145-0, 0)</f>
        <v>0</v>
      </c>
      <c r="AA146">
        <f>IF(Source!BI121=4,I143+I144+I145,0)</f>
        <v>0</v>
      </c>
      <c r="AC146" s="28">
        <f>I143+I144+I145</f>
        <v>41612.300000000003</v>
      </c>
      <c r="AD146" s="28">
        <f>K143+K144+K145</f>
        <v>349331.61</v>
      </c>
    </row>
    <row r="147" spans="1:30" ht="42.75" x14ac:dyDescent="0.2">
      <c r="A147" s="15" t="str">
        <f>Source!E122</f>
        <v>17</v>
      </c>
      <c r="B147" s="16" t="str">
        <f>Source!F122</f>
        <v>16.3-14-1</v>
      </c>
      <c r="C147" s="16" t="s">
        <v>36</v>
      </c>
      <c r="D147" s="18" t="str">
        <f>Source!H122</f>
        <v>1 м2</v>
      </c>
      <c r="E147" s="17">
        <f>Source!I122</f>
        <v>70</v>
      </c>
      <c r="F147" s="20"/>
      <c r="G147" s="19"/>
      <c r="H147" s="17"/>
      <c r="I147" s="21"/>
      <c r="J147" s="17"/>
      <c r="K147" s="21"/>
      <c r="Q147">
        <f>ROUND((Source!DN122/100)*ROUND((ROUND((Source!AF122*Source!AV122*Source!I122),2)),2), 2)</f>
        <v>0</v>
      </c>
      <c r="R147">
        <f>Source!X122</f>
        <v>0</v>
      </c>
      <c r="S147">
        <f>ROUND((Source!DO122/100)*ROUND((ROUND((Source!AF122*Source!AV122*Source!I122),2)),2), 2)</f>
        <v>0</v>
      </c>
      <c r="T147">
        <f>Source!Y122</f>
        <v>0</v>
      </c>
      <c r="U147">
        <f>ROUND((175/100)*ROUND((ROUND((Source!AE122*Source!AV122*Source!I122),2)),2), 2)</f>
        <v>0</v>
      </c>
      <c r="V147">
        <f>ROUND((157/100)*ROUND(ROUND((ROUND((Source!AE122*Source!AV122*Source!I122),2)*Source!BS122),2), 2), 2)</f>
        <v>0</v>
      </c>
    </row>
    <row r="148" spans="1:30" x14ac:dyDescent="0.2">
      <c r="C148" s="31" t="str">
        <f>"Объем: "&amp;Source!I122&amp;"=(3,5+"&amp;"3,5)*"&amp;"2*"&amp;"5*"&amp;""&amp;Source!I118&amp;""</f>
        <v>Объем: 70=(3,5+3,5)*2*5*1</v>
      </c>
    </row>
    <row r="149" spans="1:30" ht="14.25" x14ac:dyDescent="0.2">
      <c r="A149" s="15"/>
      <c r="B149" s="16"/>
      <c r="C149" s="16" t="s">
        <v>471</v>
      </c>
      <c r="D149" s="18"/>
      <c r="E149" s="17"/>
      <c r="F149" s="20"/>
      <c r="G149" s="19"/>
      <c r="H149" s="17"/>
      <c r="I149" s="21">
        <f>I150+I151+I152+SUM(I153:I153)</f>
        <v>10545.5</v>
      </c>
      <c r="J149" s="17"/>
      <c r="K149" s="21">
        <f>K150+K151+K152+SUM(K153:K153)</f>
        <v>120943.2</v>
      </c>
    </row>
    <row r="150" spans="1:30" ht="14.25" x14ac:dyDescent="0.2">
      <c r="A150" s="15"/>
      <c r="B150" s="16"/>
      <c r="C150" s="16" t="s">
        <v>472</v>
      </c>
      <c r="D150" s="18"/>
      <c r="E150" s="17"/>
      <c r="F150" s="20">
        <f>Source!AO122</f>
        <v>41</v>
      </c>
      <c r="G150" s="19" t="str">
        <f>Source!DG122</f>
        <v>*1,15</v>
      </c>
      <c r="H150" s="17">
        <f>Source!AV122</f>
        <v>1</v>
      </c>
      <c r="I150" s="21">
        <f>ROUND((ROUND((Source!AF122*Source!AV122*Source!I122),2)),2)</f>
        <v>3300.5</v>
      </c>
      <c r="J150" s="17">
        <f>IF(Source!BA122&lt;&gt; 0, Source!BA122, 1)</f>
        <v>18.899999999999999</v>
      </c>
      <c r="K150" s="21">
        <f>Source!GZ122</f>
        <v>62379.45</v>
      </c>
    </row>
    <row r="151" spans="1:30" ht="14.25" x14ac:dyDescent="0.2">
      <c r="A151" s="15"/>
      <c r="B151" s="16"/>
      <c r="C151" s="16" t="s">
        <v>473</v>
      </c>
      <c r="D151" s="18"/>
      <c r="E151" s="17"/>
      <c r="F151" s="20">
        <f>Source!AM122</f>
        <v>30</v>
      </c>
      <c r="G151" s="19" t="str">
        <f>Source!DE122</f>
        <v>*1,15</v>
      </c>
      <c r="H151" s="17">
        <f>Source!AV122</f>
        <v>1</v>
      </c>
      <c r="I151" s="21">
        <f>(ROUND((ROUND((((Source!ET122*1.15))*Source!AV122*Source!I122),2)),2)+ROUND((ROUND(((Source!AE122-((Source!EU122*1.15)))*Source!AV122*Source!I122),2)),2))</f>
        <v>2415</v>
      </c>
      <c r="J151" s="17">
        <f>IF(Source!BB122&lt;&gt; 0, Source!BB122, 1)</f>
        <v>7.73</v>
      </c>
      <c r="K151" s="21">
        <f>Source!GY122</f>
        <v>18667.95</v>
      </c>
    </row>
    <row r="152" spans="1:30" ht="14.25" x14ac:dyDescent="0.2">
      <c r="A152" s="15"/>
      <c r="B152" s="16"/>
      <c r="C152" s="16" t="s">
        <v>474</v>
      </c>
      <c r="D152" s="18"/>
      <c r="E152" s="17"/>
      <c r="F152" s="20">
        <f>Source!AL122</f>
        <v>69</v>
      </c>
      <c r="G152" s="19" t="str">
        <f>Source!DD122</f>
        <v/>
      </c>
      <c r="H152" s="17">
        <f>Source!AW122</f>
        <v>1</v>
      </c>
      <c r="I152" s="21">
        <f>ROUND((ROUND((Source!AC122*Source!AW122*Source!I122),2)),2)</f>
        <v>4830</v>
      </c>
      <c r="J152" s="17">
        <f>IF(Source!BC122&lt;&gt; 0, Source!BC122, 1)</f>
        <v>8.26</v>
      </c>
      <c r="K152" s="21">
        <f>Source!P122</f>
        <v>39895.800000000003</v>
      </c>
    </row>
    <row r="153" spans="1:30" ht="28.5" x14ac:dyDescent="0.2">
      <c r="A153" s="15" t="str">
        <f>Source!E123</f>
        <v>17,1</v>
      </c>
      <c r="B153" s="16" t="str">
        <f>Source!F123</f>
        <v>9999990004</v>
      </c>
      <c r="C153" s="16" t="s">
        <v>32</v>
      </c>
      <c r="D153" s="18" t="str">
        <f>Source!H123</f>
        <v>м3</v>
      </c>
      <c r="E153" s="17">
        <f>Source!I123</f>
        <v>14</v>
      </c>
      <c r="F153" s="20">
        <f>Source!AK123</f>
        <v>0</v>
      </c>
      <c r="G153" s="22" t="s">
        <v>3</v>
      </c>
      <c r="H153" s="17">
        <f>Source!AW123</f>
        <v>1</v>
      </c>
      <c r="I153" s="21">
        <f>ROUND((ROUND((Source!AC123*Source!AW123*Source!I123),2)),2)+(ROUND((ROUND(((Source!ET123)*Source!AV123*Source!I123),2)),2)+ROUND((ROUND(((Source!AE123-(Source!EU123))*Source!AV123*Source!I123),2)),2))+ROUND((ROUND((Source!AF123*Source!AV123*Source!I123),2)),2)</f>
        <v>0</v>
      </c>
      <c r="J153" s="17">
        <f>IF(Source!BC123&lt;&gt; 0, Source!BC123, 1)</f>
        <v>1</v>
      </c>
      <c r="K153" s="21">
        <f>Source!O123</f>
        <v>0</v>
      </c>
      <c r="Q153">
        <f>ROUND((Source!DN123/100)*ROUND((ROUND((Source!AF123*Source!AV123*Source!I123),2)),2), 2)</f>
        <v>0</v>
      </c>
      <c r="R153">
        <f>Source!X123</f>
        <v>0</v>
      </c>
      <c r="S153">
        <f>ROUND((Source!DO123/100)*ROUND((ROUND((Source!AF123*Source!AV123*Source!I123),2)),2), 2)</f>
        <v>0</v>
      </c>
      <c r="T153">
        <f>Source!Y123</f>
        <v>0</v>
      </c>
      <c r="U153">
        <f>ROUND((175/100)*ROUND((ROUND((Source!AE123*Source!AV123*Source!I123),2)),2), 2)</f>
        <v>0</v>
      </c>
      <c r="V153">
        <f>ROUND((157/100)*ROUND(ROUND((ROUND((Source!AE123*Source!AV123*Source!I123),2)*Source!BS123),2), 2), 2)</f>
        <v>0</v>
      </c>
      <c r="X153">
        <f>IF(Source!BI123&lt;=1,I153, 0)</f>
        <v>0</v>
      </c>
      <c r="Y153">
        <f>IF(Source!BI123=2,I153, 0)</f>
        <v>0</v>
      </c>
      <c r="Z153">
        <f>IF(Source!BI123=3,I153, 0)</f>
        <v>0</v>
      </c>
      <c r="AA153">
        <f>IF(Source!BI123=4,I153, 0)</f>
        <v>0</v>
      </c>
    </row>
    <row r="154" spans="1:30" ht="14.25" x14ac:dyDescent="0.2">
      <c r="A154" s="23"/>
      <c r="B154" s="24"/>
      <c r="C154" s="24" t="s">
        <v>477</v>
      </c>
      <c r="D154" s="18"/>
      <c r="E154" s="25"/>
      <c r="F154" s="26">
        <f>Source!HA122</f>
        <v>0.2</v>
      </c>
      <c r="G154" s="18"/>
      <c r="H154" s="25"/>
      <c r="I154" s="27"/>
      <c r="J154" s="25"/>
      <c r="K154" s="26">
        <f>Source!HA122*Source!I122</f>
        <v>14</v>
      </c>
    </row>
    <row r="155" spans="1:30" ht="15" x14ac:dyDescent="0.25">
      <c r="A155" s="30"/>
      <c r="B155" s="30"/>
      <c r="C155" s="30"/>
      <c r="D155" s="30"/>
      <c r="E155" s="30"/>
      <c r="F155" s="30"/>
      <c r="G155" s="30"/>
      <c r="H155" s="74">
        <f>I150+I151+I152+SUM(I153:I153)</f>
        <v>10545.5</v>
      </c>
      <c r="I155" s="74"/>
      <c r="J155" s="74">
        <f>K150+K151+K152+SUM(K153:K153)</f>
        <v>120943.2</v>
      </c>
      <c r="K155" s="74"/>
      <c r="O155" s="28">
        <f>I150+I151+I152+SUM(I153:I153)</f>
        <v>10545.5</v>
      </c>
      <c r="P155" s="28">
        <f>K150+K151+K152+SUM(K153:K153)</f>
        <v>120943.2</v>
      </c>
      <c r="X155">
        <f>IF(Source!BI122&lt;=1,I150+I151+I152-0, 0)</f>
        <v>10545.5</v>
      </c>
      <c r="Y155">
        <f>IF(Source!BI122=2,I150+I151+I152-0, 0)</f>
        <v>0</v>
      </c>
      <c r="Z155">
        <f>IF(Source!BI122=3,I150+I151+I152-0, 0)</f>
        <v>0</v>
      </c>
      <c r="AA155">
        <f>IF(Source!BI122=4,I150+I151+I152,0)</f>
        <v>0</v>
      </c>
      <c r="AC155" s="28">
        <f>I150+I151+I152+SUM(I153:I153)</f>
        <v>10545.5</v>
      </c>
      <c r="AD155" s="28">
        <f>K150+K151+K152+SUM(K153:K153)</f>
        <v>120943.2</v>
      </c>
    </row>
    <row r="156" spans="1:30" ht="57" x14ac:dyDescent="0.2">
      <c r="A156" s="15" t="str">
        <f>Source!E124</f>
        <v>18</v>
      </c>
      <c r="B156" s="16" t="str">
        <f>Source!F124</f>
        <v>3.1-6-10</v>
      </c>
      <c r="C156" s="16" t="s">
        <v>43</v>
      </c>
      <c r="D156" s="18" t="str">
        <f>Source!H124</f>
        <v>100 м3 грунта</v>
      </c>
      <c r="E156" s="17">
        <f>Source!I124</f>
        <v>0.32350000000000001</v>
      </c>
      <c r="F156" s="20"/>
      <c r="G156" s="19"/>
      <c r="H156" s="17"/>
      <c r="I156" s="21"/>
      <c r="J156" s="17"/>
      <c r="K156" s="21"/>
      <c r="Q156">
        <f>ROUND((Source!DN124/100)*ROUND((ROUND((Source!AF124*Source!AV124*Source!I124),2)),2), 2)</f>
        <v>5.33</v>
      </c>
      <c r="R156">
        <f>Source!X124</f>
        <v>107.25</v>
      </c>
      <c r="S156">
        <f>ROUND((Source!DO124/100)*ROUND((ROUND((Source!AF124*Source!AV124*Source!I124),2)),2), 2)</f>
        <v>4.1900000000000004</v>
      </c>
      <c r="T156">
        <f>Source!Y124</f>
        <v>58.29</v>
      </c>
      <c r="U156">
        <f>ROUND((175/100)*ROUND((ROUND((Source!AE124*Source!AV124*Source!I124),2)),2), 2)</f>
        <v>94.8</v>
      </c>
      <c r="V156">
        <f>ROUND((157/100)*ROUND(ROUND((ROUND((Source!AE124*Source!AV124*Source!I124),2)*Source!BS124),2), 2), 2)</f>
        <v>1822.55</v>
      </c>
    </row>
    <row r="157" spans="1:30" x14ac:dyDescent="0.2">
      <c r="C157" s="31" t="str">
        <f>"Объем: "&amp;Source!I124&amp;"=("&amp;Source!I120&amp;"+"&amp;""&amp;Source!I123&amp;")/"&amp;"100"</f>
        <v>Объем: 0,3235=(18,35431+14)/100</v>
      </c>
    </row>
    <row r="158" spans="1:30" ht="14.25" x14ac:dyDescent="0.2">
      <c r="A158" s="15"/>
      <c r="B158" s="16"/>
      <c r="C158" s="16" t="s">
        <v>479</v>
      </c>
      <c r="D158" s="18"/>
      <c r="E158" s="17"/>
      <c r="F158" s="20">
        <f>Source!AO124</f>
        <v>14.1</v>
      </c>
      <c r="G158" s="19" t="str">
        <f>Source!DG124</f>
        <v/>
      </c>
      <c r="H158" s="17">
        <f>Source!AV124</f>
        <v>1.1919999999999999</v>
      </c>
      <c r="I158" s="21">
        <f>ROUND((ROUND((Source!AF124*Source!AV124*Source!I124),2)),2)</f>
        <v>5.44</v>
      </c>
      <c r="J158" s="17">
        <f>IF(Source!BA124&lt;&gt; 0, Source!BA124, 1)</f>
        <v>21.43</v>
      </c>
      <c r="K158" s="21">
        <f>Source!S124</f>
        <v>116.58</v>
      </c>
      <c r="W158">
        <f>I158</f>
        <v>5.44</v>
      </c>
    </row>
    <row r="159" spans="1:30" ht="14.25" x14ac:dyDescent="0.2">
      <c r="A159" s="15"/>
      <c r="B159" s="16"/>
      <c r="C159" s="16" t="s">
        <v>480</v>
      </c>
      <c r="D159" s="18"/>
      <c r="E159" s="17"/>
      <c r="F159" s="20">
        <f>Source!AM124</f>
        <v>757.55</v>
      </c>
      <c r="G159" s="19" t="str">
        <f>Source!DE124</f>
        <v/>
      </c>
      <c r="H159" s="17">
        <f>Source!AV124</f>
        <v>1.1919999999999999</v>
      </c>
      <c r="I159" s="21">
        <f>(ROUND((ROUND(((Source!ET124)*Source!AV124*Source!I124),2)),2)+ROUND((ROUND(((Source!AE124-(Source!EU124))*Source!AV124*Source!I124),2)),2))</f>
        <v>292.12</v>
      </c>
      <c r="J159" s="17">
        <f>IF(Source!BB124&lt;&gt; 0, Source!BB124, 1)</f>
        <v>8.94</v>
      </c>
      <c r="K159" s="21">
        <f>Source!Q124</f>
        <v>2611.5500000000002</v>
      </c>
    </row>
    <row r="160" spans="1:30" ht="14.25" x14ac:dyDescent="0.2">
      <c r="A160" s="15"/>
      <c r="B160" s="16"/>
      <c r="C160" s="16" t="s">
        <v>481</v>
      </c>
      <c r="D160" s="18"/>
      <c r="E160" s="17"/>
      <c r="F160" s="20">
        <f>Source!AN124</f>
        <v>140.47999999999999</v>
      </c>
      <c r="G160" s="19" t="str">
        <f>Source!DF124</f>
        <v/>
      </c>
      <c r="H160" s="17">
        <f>Source!AV124</f>
        <v>1.1919999999999999</v>
      </c>
      <c r="I160" s="27">
        <f>ROUND((ROUND((Source!AE124*Source!AV124*Source!I124),2)),2)</f>
        <v>54.17</v>
      </c>
      <c r="J160" s="17">
        <f>IF(Source!BS124&lt;&gt; 0, Source!BS124, 1)</f>
        <v>21.43</v>
      </c>
      <c r="K160" s="27">
        <f>Source!R124</f>
        <v>1160.8599999999999</v>
      </c>
      <c r="W160">
        <f>I160</f>
        <v>54.17</v>
      </c>
    </row>
    <row r="161" spans="1:27" ht="14.25" x14ac:dyDescent="0.2">
      <c r="A161" s="15"/>
      <c r="B161" s="16"/>
      <c r="C161" s="16" t="s">
        <v>482</v>
      </c>
      <c r="D161" s="18" t="s">
        <v>483</v>
      </c>
      <c r="E161" s="17">
        <f>Source!DN124</f>
        <v>98</v>
      </c>
      <c r="F161" s="20"/>
      <c r="G161" s="19"/>
      <c r="H161" s="17"/>
      <c r="I161" s="21">
        <f>SUM(Q156:Q160)</f>
        <v>5.33</v>
      </c>
      <c r="J161" s="17">
        <f>Source!BZ124</f>
        <v>92</v>
      </c>
      <c r="K161" s="21">
        <f>SUM(R156:R160)</f>
        <v>107.25</v>
      </c>
    </row>
    <row r="162" spans="1:27" ht="14.25" x14ac:dyDescent="0.2">
      <c r="A162" s="15"/>
      <c r="B162" s="16"/>
      <c r="C162" s="16" t="s">
        <v>484</v>
      </c>
      <c r="D162" s="18" t="s">
        <v>483</v>
      </c>
      <c r="E162" s="17">
        <f>Source!DO124</f>
        <v>77</v>
      </c>
      <c r="F162" s="20"/>
      <c r="G162" s="19"/>
      <c r="H162" s="17"/>
      <c r="I162" s="21">
        <f>SUM(S156:S161)</f>
        <v>4.1900000000000004</v>
      </c>
      <c r="J162" s="17">
        <f>Source!CA124</f>
        <v>50</v>
      </c>
      <c r="K162" s="21">
        <f>SUM(T156:T161)</f>
        <v>58.29</v>
      </c>
    </row>
    <row r="163" spans="1:27" ht="14.25" x14ac:dyDescent="0.2">
      <c r="A163" s="15"/>
      <c r="B163" s="16"/>
      <c r="C163" s="16" t="s">
        <v>485</v>
      </c>
      <c r="D163" s="18" t="s">
        <v>483</v>
      </c>
      <c r="E163" s="17">
        <f>175</f>
        <v>175</v>
      </c>
      <c r="F163" s="20"/>
      <c r="G163" s="19"/>
      <c r="H163" s="17"/>
      <c r="I163" s="21">
        <f>SUM(U156:U162)</f>
        <v>94.8</v>
      </c>
      <c r="J163" s="17">
        <f>157</f>
        <v>157</v>
      </c>
      <c r="K163" s="21">
        <f>SUM(V156:V162)</f>
        <v>1822.55</v>
      </c>
    </row>
    <row r="164" spans="1:27" ht="14.25" x14ac:dyDescent="0.2">
      <c r="A164" s="15"/>
      <c r="B164" s="16"/>
      <c r="C164" s="16" t="s">
        <v>486</v>
      </c>
      <c r="D164" s="18" t="s">
        <v>487</v>
      </c>
      <c r="E164" s="17">
        <f>Source!AQ124</f>
        <v>1.38</v>
      </c>
      <c r="F164" s="20"/>
      <c r="G164" s="19" t="str">
        <f>Source!DI124</f>
        <v/>
      </c>
      <c r="H164" s="17">
        <f>Source!AV124</f>
        <v>1.1919999999999999</v>
      </c>
      <c r="I164" s="21">
        <f>Source!U124</f>
        <v>0.53214455999999999</v>
      </c>
      <c r="J164" s="17"/>
      <c r="K164" s="21"/>
    </row>
    <row r="165" spans="1:27" ht="15" x14ac:dyDescent="0.25">
      <c r="A165" s="30"/>
      <c r="B165" s="30"/>
      <c r="C165" s="30"/>
      <c r="D165" s="30"/>
      <c r="E165" s="30"/>
      <c r="F165" s="30"/>
      <c r="G165" s="30"/>
      <c r="H165" s="74">
        <f>I158+I159+I161+I162+I163</f>
        <v>401.88</v>
      </c>
      <c r="I165" s="74"/>
      <c r="J165" s="74">
        <f>K158+K159+K161+K162+K163</f>
        <v>4716.22</v>
      </c>
      <c r="K165" s="74"/>
      <c r="O165" s="28">
        <f>I158+I159+I161+I162+I163</f>
        <v>401.88</v>
      </c>
      <c r="P165" s="28">
        <f>K158+K159+K161+K162+K163</f>
        <v>4716.22</v>
      </c>
      <c r="X165">
        <f>IF(Source!BI124&lt;=1,I158+I159+I161+I162+I163-0, 0)</f>
        <v>401.88</v>
      </c>
      <c r="Y165">
        <f>IF(Source!BI124=2,I158+I159+I161+I162+I163-0, 0)</f>
        <v>0</v>
      </c>
      <c r="Z165">
        <f>IF(Source!BI124=3,I158+I159+I161+I162+I163-0, 0)</f>
        <v>0</v>
      </c>
      <c r="AA165">
        <f>IF(Source!BI124=4,I158+I159+I161+I162+I163,0)</f>
        <v>0</v>
      </c>
    </row>
    <row r="166" spans="1:27" ht="42.75" x14ac:dyDescent="0.2">
      <c r="A166" s="15" t="str">
        <f>Source!E125</f>
        <v>19</v>
      </c>
      <c r="B166" s="16" t="str">
        <f>Source!F125</f>
        <v>15.1-50-2</v>
      </c>
      <c r="C166" s="16" t="s">
        <v>51</v>
      </c>
      <c r="D166" s="18" t="str">
        <f>Source!H125</f>
        <v>1 м3</v>
      </c>
      <c r="E166" s="17">
        <f>Source!I125</f>
        <v>32.35</v>
      </c>
      <c r="F166" s="20"/>
      <c r="G166" s="19"/>
      <c r="H166" s="17"/>
      <c r="I166" s="21"/>
      <c r="J166" s="17"/>
      <c r="K166" s="21"/>
      <c r="Q166">
        <f>ROUND((Source!DN125/100)*ROUND((ROUND((Source!AF125*Source!AV125*Source!I125),2)),2), 2)</f>
        <v>0</v>
      </c>
      <c r="R166">
        <f>Source!X125</f>
        <v>0</v>
      </c>
      <c r="S166">
        <f>ROUND((Source!DO125/100)*ROUND((ROUND((Source!AF125*Source!AV125*Source!I125),2)),2), 2)</f>
        <v>0</v>
      </c>
      <c r="T166">
        <f>Source!Y125</f>
        <v>0</v>
      </c>
      <c r="U166">
        <f>ROUND((175/100)*ROUND((ROUND((Source!AE125*Source!AV125*Source!I125),2)),2), 2)</f>
        <v>0</v>
      </c>
      <c r="V166">
        <f>ROUND((157/100)*ROUND(ROUND((ROUND((Source!AE125*Source!AV125*Source!I125),2)*Source!BS125),2), 2), 2)</f>
        <v>0</v>
      </c>
    </row>
    <row r="167" spans="1:27" x14ac:dyDescent="0.2">
      <c r="C167" s="31" t="str">
        <f>"Объем: "&amp;Source!I125&amp;"="&amp;Source!I124&amp;"*"&amp;"100"</f>
        <v>Объем: 32,35=0,3235*100</v>
      </c>
    </row>
    <row r="168" spans="1:27" ht="14.25" x14ac:dyDescent="0.2">
      <c r="A168" s="15"/>
      <c r="B168" s="16"/>
      <c r="C168" s="16" t="s">
        <v>480</v>
      </c>
      <c r="D168" s="18"/>
      <c r="E168" s="17"/>
      <c r="F168" s="20">
        <f>Source!AM125</f>
        <v>73.78</v>
      </c>
      <c r="G168" s="19" t="str">
        <f>Source!DE125</f>
        <v/>
      </c>
      <c r="H168" s="17">
        <f>Source!AV125</f>
        <v>1</v>
      </c>
      <c r="I168" s="21">
        <f>(ROUND((ROUND(((Source!ET125+(SUM(SmtRes!BD45:'SmtRes'!BD45)+SUM(EtalonRes!AM43:'EtalonRes'!AM43)))*Source!AV125*Source!I125),2)),2)+ROUND((ROUND(((Source!AE125-(Source!EU125))*Source!AV125*Source!I125),2)),2))</f>
        <v>1467.72</v>
      </c>
      <c r="J168" s="17">
        <f>IF(Source!BB125&lt;&gt; 0, Source!BB125, 1)</f>
        <v>9.5299999999999994</v>
      </c>
      <c r="K168" s="21">
        <f>Source!Q125</f>
        <v>13987.37</v>
      </c>
    </row>
    <row r="169" spans="1:27" ht="15" x14ac:dyDescent="0.25">
      <c r="A169" s="30"/>
      <c r="B169" s="30"/>
      <c r="C169" s="30"/>
      <c r="D169" s="30"/>
      <c r="E169" s="30"/>
      <c r="F169" s="30"/>
      <c r="G169" s="30"/>
      <c r="H169" s="74">
        <f>I168</f>
        <v>1467.72</v>
      </c>
      <c r="I169" s="74"/>
      <c r="J169" s="74">
        <f>K168</f>
        <v>13987.37</v>
      </c>
      <c r="K169" s="74"/>
      <c r="O169" s="28">
        <f>I168</f>
        <v>1467.72</v>
      </c>
      <c r="P169" s="28">
        <f>K168</f>
        <v>13987.37</v>
      </c>
      <c r="X169">
        <f>IF(Source!BI125&lt;=1,I168-0, 0)</f>
        <v>0</v>
      </c>
      <c r="Y169">
        <f>IF(Source!BI125=2,I168-0, 0)</f>
        <v>0</v>
      </c>
      <c r="Z169">
        <f>IF(Source!BI125=3,I168-0, 0)</f>
        <v>0</v>
      </c>
      <c r="AA169">
        <f>IF(Source!BI125=4,I168,0)</f>
        <v>1467.72</v>
      </c>
    </row>
    <row r="170" spans="1:27" ht="71.25" x14ac:dyDescent="0.2">
      <c r="A170" s="15" t="str">
        <f>Source!E126</f>
        <v>20</v>
      </c>
      <c r="B170" s="16" t="str">
        <f>Source!F126</f>
        <v>15.1-0-9</v>
      </c>
      <c r="C170" s="16" t="s">
        <v>59</v>
      </c>
      <c r="D170" s="18" t="str">
        <f>Source!H126</f>
        <v>1 Т</v>
      </c>
      <c r="E170" s="17">
        <f>Source!I126</f>
        <v>58.23</v>
      </c>
      <c r="F170" s="20"/>
      <c r="G170" s="19"/>
      <c r="H170" s="17"/>
      <c r="I170" s="21"/>
      <c r="J170" s="17"/>
      <c r="K170" s="21"/>
      <c r="Q170">
        <f>ROUND((Source!DN126/100)*ROUND((ROUND((Source!AF126*Source!AV126*Source!I126),2)),2), 2)</f>
        <v>0</v>
      </c>
      <c r="R170">
        <f>Source!X126</f>
        <v>0</v>
      </c>
      <c r="S170">
        <f>ROUND((Source!DO126/100)*ROUND((ROUND((Source!AF126*Source!AV126*Source!I126),2)),2), 2)</f>
        <v>0</v>
      </c>
      <c r="T170">
        <f>Source!Y126</f>
        <v>0</v>
      </c>
      <c r="U170">
        <f>ROUND((175/100)*ROUND((ROUND((Source!AE126*Source!AV126*Source!I126),2)),2), 2)</f>
        <v>0</v>
      </c>
      <c r="V170">
        <f>ROUND((157/100)*ROUND(ROUND((ROUND((Source!AE126*Source!AV126*Source!I126),2)*Source!BS126),2), 2), 2)</f>
        <v>0</v>
      </c>
    </row>
    <row r="171" spans="1:27" x14ac:dyDescent="0.2">
      <c r="C171" s="31" t="str">
        <f>"Объем: "&amp;Source!I126&amp;"="&amp;Source!I125&amp;"*"&amp;"1,8"</f>
        <v>Объем: 58,23=32,35*1,8</v>
      </c>
    </row>
    <row r="172" spans="1:27" ht="14.25" x14ac:dyDescent="0.2">
      <c r="A172" s="15"/>
      <c r="B172" s="16"/>
      <c r="C172" s="16" t="s">
        <v>480</v>
      </c>
      <c r="D172" s="18"/>
      <c r="E172" s="17"/>
      <c r="F172" s="20">
        <f>Source!AM126</f>
        <v>43.28</v>
      </c>
      <c r="G172" s="19" t="str">
        <f>Source!DE126</f>
        <v/>
      </c>
      <c r="H172" s="17">
        <f>Source!AV126</f>
        <v>1</v>
      </c>
      <c r="I172" s="21">
        <f>(ROUND((ROUND(((Source!ET126)*Source!AV126*Source!I126),2)),2)+ROUND((ROUND(((Source!AE126-(Source!EU126))*Source!AV126*Source!I126),2)),2))</f>
        <v>2520.19</v>
      </c>
      <c r="J172" s="17">
        <f>IF(Source!BB126&lt;&gt; 0, Source!BB126, 1)</f>
        <v>2.87</v>
      </c>
      <c r="K172" s="21">
        <f>Source!Q126</f>
        <v>7232.95</v>
      </c>
    </row>
    <row r="173" spans="1:27" ht="15" x14ac:dyDescent="0.25">
      <c r="A173" s="30"/>
      <c r="B173" s="30"/>
      <c r="C173" s="30"/>
      <c r="D173" s="30"/>
      <c r="E173" s="30"/>
      <c r="F173" s="30"/>
      <c r="G173" s="30"/>
      <c r="H173" s="74">
        <f>I172</f>
        <v>2520.19</v>
      </c>
      <c r="I173" s="74"/>
      <c r="J173" s="74">
        <f>K172</f>
        <v>7232.95</v>
      </c>
      <c r="K173" s="74"/>
      <c r="O173" s="28">
        <f>I172</f>
        <v>2520.19</v>
      </c>
      <c r="P173" s="28">
        <f>K172</f>
        <v>7232.95</v>
      </c>
      <c r="X173">
        <f>IF(Source!BI126&lt;=1,I172-0, 0)</f>
        <v>0</v>
      </c>
      <c r="Y173">
        <f>IF(Source!BI126=2,I172-0, 0)</f>
        <v>0</v>
      </c>
      <c r="Z173">
        <f>IF(Source!BI126=3,I172-0, 0)</f>
        <v>0</v>
      </c>
      <c r="AA173">
        <f>IF(Source!BI126=4,I172,0)</f>
        <v>2520.19</v>
      </c>
    </row>
    <row r="174" spans="1:27" ht="42.75" x14ac:dyDescent="0.2">
      <c r="A174" s="15" t="str">
        <f>Source!E127</f>
        <v>21</v>
      </c>
      <c r="B174" s="16" t="str">
        <f>Source!F127</f>
        <v>15.1-26-11</v>
      </c>
      <c r="C174" s="16" t="s">
        <v>64</v>
      </c>
      <c r="D174" s="18" t="str">
        <f>Source!H127</f>
        <v>1 Т</v>
      </c>
      <c r="E174" s="17">
        <f>Source!I127</f>
        <v>0.25800000000000001</v>
      </c>
      <c r="F174" s="20"/>
      <c r="G174" s="19"/>
      <c r="H174" s="17"/>
      <c r="I174" s="21"/>
      <c r="J174" s="17"/>
      <c r="K174" s="21"/>
      <c r="Q174">
        <f>ROUND((Source!DN127/100)*ROUND((ROUND((Source!AF127*Source!AV127*Source!I127),2)),2), 2)</f>
        <v>0</v>
      </c>
      <c r="R174">
        <f>Source!X127</f>
        <v>0</v>
      </c>
      <c r="S174">
        <f>ROUND((Source!DO127/100)*ROUND((ROUND((Source!AF127*Source!AV127*Source!I127),2)),2), 2)</f>
        <v>0</v>
      </c>
      <c r="T174">
        <f>Source!Y127</f>
        <v>0</v>
      </c>
      <c r="U174">
        <f>ROUND((175/100)*ROUND((ROUND((Source!AE127*Source!AV127*Source!I127),2)),2), 2)</f>
        <v>0</v>
      </c>
      <c r="V174">
        <f>ROUND((157/100)*ROUND(ROUND((ROUND((Source!AE127*Source!AV127*Source!I127),2)*Source!BS127),2), 2), 2)</f>
        <v>0</v>
      </c>
    </row>
    <row r="175" spans="1:27" ht="14.25" x14ac:dyDescent="0.2">
      <c r="A175" s="15"/>
      <c r="B175" s="16"/>
      <c r="C175" s="16" t="s">
        <v>480</v>
      </c>
      <c r="D175" s="18"/>
      <c r="E175" s="17"/>
      <c r="F175" s="20">
        <f>Source!AM127</f>
        <v>27.91</v>
      </c>
      <c r="G175" s="19" t="str">
        <f>Source!DE127</f>
        <v/>
      </c>
      <c r="H175" s="17">
        <f>Source!AV127</f>
        <v>1</v>
      </c>
      <c r="I175" s="21">
        <f>(ROUND((ROUND(((Source!ET127)*Source!AV127*Source!I127),2)),2)+ROUND((ROUND(((Source!AE127-(Source!EU127))*Source!AV127*Source!I127),2)),2))</f>
        <v>7.2</v>
      </c>
      <c r="J175" s="17">
        <f>IF(Source!BB127&lt;&gt; 0, Source!BB127, 1)</f>
        <v>8.66</v>
      </c>
      <c r="K175" s="21">
        <f>Source!Q127</f>
        <v>62.35</v>
      </c>
    </row>
    <row r="176" spans="1:27" ht="15" x14ac:dyDescent="0.25">
      <c r="A176" s="30"/>
      <c r="B176" s="30"/>
      <c r="C176" s="30"/>
      <c r="D176" s="30"/>
      <c r="E176" s="30"/>
      <c r="F176" s="30"/>
      <c r="G176" s="30"/>
      <c r="H176" s="74">
        <f>I175</f>
        <v>7.2</v>
      </c>
      <c r="I176" s="74"/>
      <c r="J176" s="74">
        <f>K175</f>
        <v>62.35</v>
      </c>
      <c r="K176" s="74"/>
      <c r="O176" s="28">
        <f>I175</f>
        <v>7.2</v>
      </c>
      <c r="P176" s="28">
        <f>K175</f>
        <v>62.35</v>
      </c>
      <c r="X176">
        <f>IF(Source!BI127&lt;=1,I175-0, 0)</f>
        <v>0</v>
      </c>
      <c r="Y176">
        <f>IF(Source!BI127=2,I175-0, 0)</f>
        <v>0</v>
      </c>
      <c r="Z176">
        <f>IF(Source!BI127=3,I175-0, 0)</f>
        <v>0</v>
      </c>
      <c r="AA176">
        <f>IF(Source!BI127=4,I175,0)</f>
        <v>7.2</v>
      </c>
    </row>
    <row r="177" spans="1:30" ht="14.25" x14ac:dyDescent="0.2">
      <c r="A177" s="15" t="str">
        <f>Source!E128</f>
        <v>22</v>
      </c>
      <c r="B177" s="16" t="str">
        <f>Source!F128</f>
        <v>15.1-0-1</v>
      </c>
      <c r="C177" s="16" t="s">
        <v>70</v>
      </c>
      <c r="D177" s="18" t="str">
        <f>Source!H128</f>
        <v>1 Т</v>
      </c>
      <c r="E177" s="17">
        <f>Source!I128</f>
        <v>0.25800000000000001</v>
      </c>
      <c r="F177" s="20"/>
      <c r="G177" s="19"/>
      <c r="H177" s="17"/>
      <c r="I177" s="21"/>
      <c r="J177" s="17"/>
      <c r="K177" s="21"/>
      <c r="Q177">
        <f>ROUND((Source!DN128/100)*ROUND((ROUND((Source!AF128*Source!AV128*Source!I128),2)),2), 2)</f>
        <v>0</v>
      </c>
      <c r="R177">
        <f>Source!X128</f>
        <v>0</v>
      </c>
      <c r="S177">
        <f>ROUND((Source!DO128/100)*ROUND((ROUND((Source!AF128*Source!AV128*Source!I128),2)),2), 2)</f>
        <v>0</v>
      </c>
      <c r="T177">
        <f>Source!Y128</f>
        <v>0</v>
      </c>
      <c r="U177">
        <f>ROUND((175/100)*ROUND((ROUND((Source!AE128*Source!AV128*Source!I128),2)),2), 2)</f>
        <v>0</v>
      </c>
      <c r="V177">
        <f>ROUND((157/100)*ROUND(ROUND((ROUND((Source!AE128*Source!AV128*Source!I128),2)*Source!BS128),2), 2), 2)</f>
        <v>0</v>
      </c>
    </row>
    <row r="178" spans="1:30" ht="14.25" x14ac:dyDescent="0.2">
      <c r="A178" s="15"/>
      <c r="B178" s="16"/>
      <c r="C178" s="16" t="s">
        <v>480</v>
      </c>
      <c r="D178" s="18"/>
      <c r="E178" s="17"/>
      <c r="F178" s="20">
        <f>Source!AM128</f>
        <v>101</v>
      </c>
      <c r="G178" s="19" t="str">
        <f>Source!DE128</f>
        <v/>
      </c>
      <c r="H178" s="17">
        <f>Source!AV128</f>
        <v>1</v>
      </c>
      <c r="I178" s="21">
        <f>(ROUND((ROUND(((Source!ET128)*Source!AV128*Source!I128),2)),2)+ROUND((ROUND(((Source!AE128-(Source!EU128))*Source!AV128*Source!I128),2)),2))</f>
        <v>26.06</v>
      </c>
      <c r="J178" s="17">
        <f>IF(Source!BB128&lt;&gt; 0, Source!BB128, 1)</f>
        <v>2.14</v>
      </c>
      <c r="K178" s="21">
        <f>Source!Q128</f>
        <v>55.77</v>
      </c>
    </row>
    <row r="179" spans="1:30" ht="15" x14ac:dyDescent="0.25">
      <c r="A179" s="30"/>
      <c r="B179" s="30"/>
      <c r="C179" s="30"/>
      <c r="D179" s="30"/>
      <c r="E179" s="30"/>
      <c r="F179" s="30"/>
      <c r="G179" s="30"/>
      <c r="H179" s="74">
        <f>I178</f>
        <v>26.06</v>
      </c>
      <c r="I179" s="74"/>
      <c r="J179" s="74">
        <f>K178</f>
        <v>55.77</v>
      </c>
      <c r="K179" s="74"/>
      <c r="O179" s="28">
        <f>I178</f>
        <v>26.06</v>
      </c>
      <c r="P179" s="28">
        <f>K178</f>
        <v>55.77</v>
      </c>
      <c r="X179">
        <f>IF(Source!BI128&lt;=1,I178-0, 0)</f>
        <v>0</v>
      </c>
      <c r="Y179">
        <f>IF(Source!BI128=2,I178-0, 0)</f>
        <v>0</v>
      </c>
      <c r="Z179">
        <f>IF(Source!BI128=3,I178-0, 0)</f>
        <v>0</v>
      </c>
      <c r="AA179">
        <f>IF(Source!BI128=4,I178,0)</f>
        <v>26.06</v>
      </c>
    </row>
    <row r="181" spans="1:30" ht="15" x14ac:dyDescent="0.25">
      <c r="A181" s="76" t="str">
        <f>CONCATENATE("Итого по разделу: ",IF(Source!G130&lt;&gt;"Новый раздел", Source!G130, ""))</f>
        <v>Итого по разделу: ТЕПЛОВАЯ КАМЕРА монолитная 3.5х3.5х2,0(h)м   - 1шт</v>
      </c>
      <c r="B181" s="76"/>
      <c r="C181" s="76"/>
      <c r="D181" s="76"/>
      <c r="E181" s="76"/>
      <c r="F181" s="76"/>
      <c r="G181" s="76"/>
      <c r="H181" s="61">
        <f>SUM(O129:O180)</f>
        <v>92562.11</v>
      </c>
      <c r="I181" s="75"/>
      <c r="J181" s="61">
        <f>SUM(P129:P180)</f>
        <v>798189.99999999977</v>
      </c>
      <c r="K181" s="75"/>
    </row>
    <row r="182" spans="1:30" ht="15" x14ac:dyDescent="0.25">
      <c r="A182" s="76" t="s">
        <v>488</v>
      </c>
      <c r="B182" s="76"/>
      <c r="C182" s="76"/>
      <c r="D182" s="76"/>
      <c r="E182" s="76"/>
      <c r="F182" s="76"/>
      <c r="G182" s="76"/>
      <c r="H182" s="61">
        <f>SUM(AC129:AC181)</f>
        <v>88139.06</v>
      </c>
      <c r="I182" s="75"/>
      <c r="J182" s="61">
        <f>SUM(AD129:AD181)</f>
        <v>772135.33999999985</v>
      </c>
      <c r="K182" s="75"/>
    </row>
    <row r="183" spans="1:30" hidden="1" x14ac:dyDescent="0.2">
      <c r="A183" t="s">
        <v>489</v>
      </c>
      <c r="I183">
        <f>SUM(AE129:AE182)</f>
        <v>0</v>
      </c>
      <c r="J183">
        <f>SUM(AF129:AF182)</f>
        <v>0</v>
      </c>
    </row>
    <row r="185" spans="1:30" ht="16.5" x14ac:dyDescent="0.25">
      <c r="A185" s="73" t="str">
        <f>CONCATENATE("Раздел: ",IF(Source!G159&lt;&gt;"Новый раздел", Source!G159, ""))</f>
        <v>Раздел: ВОДОВЫПУСК Ду100мм труба на ж/б основании   - 50м</v>
      </c>
      <c r="B185" s="73"/>
      <c r="C185" s="73"/>
      <c r="D185" s="73"/>
      <c r="E185" s="73"/>
      <c r="F185" s="73"/>
      <c r="G185" s="73"/>
      <c r="H185" s="73"/>
      <c r="I185" s="73"/>
      <c r="J185" s="73"/>
      <c r="K185" s="73"/>
    </row>
    <row r="186" spans="1:30" ht="69.75" x14ac:dyDescent="0.2">
      <c r="A186" s="15" t="str">
        <f>Source!E163</f>
        <v>23</v>
      </c>
      <c r="B186" s="16" t="str">
        <f>Source!F163</f>
        <v>16.1-1302-1</v>
      </c>
      <c r="C186" s="16" t="s">
        <v>496</v>
      </c>
      <c r="D186" s="18" t="str">
        <f>Source!H163</f>
        <v>1 м трубопровода</v>
      </c>
      <c r="E186" s="17">
        <f>Source!I163</f>
        <v>50</v>
      </c>
      <c r="F186" s="20"/>
      <c r="G186" s="19"/>
      <c r="H186" s="17"/>
      <c r="I186" s="21"/>
      <c r="J186" s="17"/>
      <c r="K186" s="21"/>
      <c r="Q186">
        <f>ROUND((Source!DN163/100)*ROUND((ROUND((Source!AF163*Source!AV163*Source!I163),2)),2), 2)</f>
        <v>0</v>
      </c>
      <c r="R186">
        <f>Source!X163</f>
        <v>0</v>
      </c>
      <c r="S186">
        <f>ROUND((Source!DO163/100)*ROUND((ROUND((Source!AF163*Source!AV163*Source!I163),2)),2), 2)</f>
        <v>0</v>
      </c>
      <c r="T186">
        <f>Source!Y163</f>
        <v>0</v>
      </c>
      <c r="U186">
        <f>ROUND((175/100)*ROUND((ROUND((Source!AE163*Source!AV163*Source!I163),2)),2), 2)</f>
        <v>0</v>
      </c>
      <c r="V186">
        <f>ROUND((157/100)*ROUND(ROUND((ROUND((Source!AE163*Source!AV163*Source!I163),2)*Source!BS163),2), 2), 2)</f>
        <v>0</v>
      </c>
    </row>
    <row r="187" spans="1:30" ht="14.25" x14ac:dyDescent="0.2">
      <c r="A187" s="15"/>
      <c r="B187" s="16"/>
      <c r="C187" s="16" t="s">
        <v>471</v>
      </c>
      <c r="D187" s="18"/>
      <c r="E187" s="17"/>
      <c r="F187" s="20"/>
      <c r="G187" s="19"/>
      <c r="H187" s="17"/>
      <c r="I187" s="21">
        <f>I188+I189+I190</f>
        <v>2596.88</v>
      </c>
      <c r="J187" s="17"/>
      <c r="K187" s="21">
        <f>K188+K189+K190</f>
        <v>17159.73</v>
      </c>
    </row>
    <row r="188" spans="1:30" ht="14.25" x14ac:dyDescent="0.2">
      <c r="A188" s="15"/>
      <c r="B188" s="16"/>
      <c r="C188" s="16" t="s">
        <v>472</v>
      </c>
      <c r="D188" s="18"/>
      <c r="E188" s="17"/>
      <c r="F188" s="20">
        <f>Source!AO163</f>
        <v>16</v>
      </c>
      <c r="G188" s="19" t="str">
        <f>Source!DG163</f>
        <v>*1,15*0,25</v>
      </c>
      <c r="H188" s="17">
        <f>Source!AV163</f>
        <v>1</v>
      </c>
      <c r="I188" s="21">
        <f>ROUND((ROUND((Source!AF163*Source!AV163*Source!I163),2)),2)</f>
        <v>230</v>
      </c>
      <c r="J188" s="17">
        <f>IF(Source!BA163&lt;&gt; 0, Source!BA163, 1)</f>
        <v>16.63</v>
      </c>
      <c r="K188" s="21">
        <f>Source!GZ163</f>
        <v>3824.9</v>
      </c>
    </row>
    <row r="189" spans="1:30" ht="14.25" x14ac:dyDescent="0.2">
      <c r="A189" s="15"/>
      <c r="B189" s="16"/>
      <c r="C189" s="16" t="s">
        <v>473</v>
      </c>
      <c r="D189" s="18"/>
      <c r="E189" s="17"/>
      <c r="F189" s="20">
        <f>Source!AM163</f>
        <v>9</v>
      </c>
      <c r="G189" s="19" t="str">
        <f>Source!DE163</f>
        <v>*1,15*0,25</v>
      </c>
      <c r="H189" s="17">
        <f>Source!AV163</f>
        <v>1</v>
      </c>
      <c r="I189" s="21">
        <f>(ROUND((ROUND((((Source!ET163*1.15*0.25))*Source!AV163*Source!I163),2)),2)+ROUND((ROUND(((Source!AE163-((Source!EU163*1.15*0.25)))*Source!AV163*Source!I163),2)),2))</f>
        <v>129.38</v>
      </c>
      <c r="J189" s="17">
        <f>IF(Source!BB163&lt;&gt; 0, Source!BB163, 1)</f>
        <v>10.89</v>
      </c>
      <c r="K189" s="21">
        <f>Source!GY163</f>
        <v>1408.95</v>
      </c>
    </row>
    <row r="190" spans="1:30" ht="14.25" x14ac:dyDescent="0.2">
      <c r="A190" s="15"/>
      <c r="B190" s="16"/>
      <c r="C190" s="16" t="s">
        <v>474</v>
      </c>
      <c r="D190" s="18"/>
      <c r="E190" s="17"/>
      <c r="F190" s="20">
        <f>Source!AL163</f>
        <v>179</v>
      </c>
      <c r="G190" s="19" t="str">
        <f>Source!DD163</f>
        <v>*0,25</v>
      </c>
      <c r="H190" s="17">
        <f>Source!AW163</f>
        <v>1</v>
      </c>
      <c r="I190" s="21">
        <f>ROUND((ROUND((Source!AC163*Source!AW163*Source!I163),2)),2)</f>
        <v>2237.5</v>
      </c>
      <c r="J190" s="17">
        <f>IF(Source!BC163&lt;&gt; 0, Source!BC163, 1)</f>
        <v>5.33</v>
      </c>
      <c r="K190" s="21">
        <f>Source!P163</f>
        <v>11925.88</v>
      </c>
    </row>
    <row r="191" spans="1:30" ht="15" x14ac:dyDescent="0.25">
      <c r="A191" s="30"/>
      <c r="B191" s="30"/>
      <c r="C191" s="30"/>
      <c r="D191" s="30"/>
      <c r="E191" s="30"/>
      <c r="F191" s="30"/>
      <c r="G191" s="30"/>
      <c r="H191" s="74">
        <f>I188+I189+I190</f>
        <v>2596.88</v>
      </c>
      <c r="I191" s="74"/>
      <c r="J191" s="74">
        <f>K188+K189+K190</f>
        <v>17159.73</v>
      </c>
      <c r="K191" s="74"/>
      <c r="O191" s="28">
        <f>I188+I189+I190</f>
        <v>2596.88</v>
      </c>
      <c r="P191" s="28">
        <f>K188+K189+K190</f>
        <v>17159.73</v>
      </c>
      <c r="X191">
        <f>IF(Source!BI163&lt;=1,I188+I189+I190-0, 0)</f>
        <v>2596.88</v>
      </c>
      <c r="Y191">
        <f>IF(Source!BI163=2,I188+I189+I190-0, 0)</f>
        <v>0</v>
      </c>
      <c r="Z191">
        <f>IF(Source!BI163=3,I188+I189+I190-0, 0)</f>
        <v>0</v>
      </c>
      <c r="AA191">
        <f>IF(Source!BI163=4,I188+I189+I190,0)</f>
        <v>0</v>
      </c>
      <c r="AC191" s="28">
        <f>I188+I189+I190</f>
        <v>2596.88</v>
      </c>
      <c r="AD191" s="28">
        <f>K188+K189+K190</f>
        <v>17159.73</v>
      </c>
    </row>
    <row r="192" spans="1:30" ht="84" x14ac:dyDescent="0.2">
      <c r="A192" s="15" t="str">
        <f>Source!E164</f>
        <v>24</v>
      </c>
      <c r="B192" s="16" t="str">
        <f>Source!F164</f>
        <v>16.1-2002-2</v>
      </c>
      <c r="C192" s="16" t="s">
        <v>497</v>
      </c>
      <c r="D192" s="18" t="str">
        <f>Source!H164</f>
        <v>1 м трубопровода</v>
      </c>
      <c r="E192" s="17">
        <f>Source!I164</f>
        <v>50</v>
      </c>
      <c r="F192" s="20"/>
      <c r="G192" s="19"/>
      <c r="H192" s="17"/>
      <c r="I192" s="21"/>
      <c r="J192" s="17"/>
      <c r="K192" s="21"/>
      <c r="Q192">
        <f>ROUND((Source!DN164/100)*ROUND((ROUND((Source!AF164*Source!AV164*Source!I164),2)),2), 2)</f>
        <v>0</v>
      </c>
      <c r="R192">
        <f>Source!X164</f>
        <v>0</v>
      </c>
      <c r="S192">
        <f>ROUND((Source!DO164/100)*ROUND((ROUND((Source!AF164*Source!AV164*Source!I164),2)),2), 2)</f>
        <v>0</v>
      </c>
      <c r="T192">
        <f>Source!Y164</f>
        <v>0</v>
      </c>
      <c r="U192">
        <f>ROUND((175/100)*ROUND((ROUND((Source!AE164*Source!AV164*Source!I164),2)),2), 2)</f>
        <v>0</v>
      </c>
      <c r="V192">
        <f>ROUND((157/100)*ROUND(ROUND((ROUND((Source!AE164*Source!AV164*Source!I164),2)*Source!BS164),2), 2), 2)</f>
        <v>0</v>
      </c>
    </row>
    <row r="193" spans="1:30" ht="14.25" x14ac:dyDescent="0.2">
      <c r="A193" s="15"/>
      <c r="B193" s="16"/>
      <c r="C193" s="16" t="s">
        <v>471</v>
      </c>
      <c r="D193" s="18"/>
      <c r="E193" s="17"/>
      <c r="F193" s="20"/>
      <c r="G193" s="19"/>
      <c r="H193" s="17"/>
      <c r="I193" s="21">
        <f>I194+I195+I196+I197+SUM(I198:I198)</f>
        <v>28091.25</v>
      </c>
      <c r="J193" s="17"/>
      <c r="K193" s="21">
        <f>K194+K195+K196+K197+SUM(K198:K198)</f>
        <v>267960.55</v>
      </c>
    </row>
    <row r="194" spans="1:30" ht="14.25" x14ac:dyDescent="0.2">
      <c r="A194" s="15"/>
      <c r="B194" s="16"/>
      <c r="C194" s="16" t="s">
        <v>472</v>
      </c>
      <c r="D194" s="18"/>
      <c r="E194" s="17"/>
      <c r="F194" s="20">
        <f>Source!AO164</f>
        <v>160</v>
      </c>
      <c r="G194" s="19" t="str">
        <f>Source!DG164</f>
        <v>*1,15*0,5</v>
      </c>
      <c r="H194" s="17">
        <f>Source!AV164</f>
        <v>1</v>
      </c>
      <c r="I194" s="21">
        <f>ROUND((ROUND((Source!AF164*Source!AV164*Source!I164),2)),2)</f>
        <v>4600</v>
      </c>
      <c r="J194" s="17">
        <f>IF(Source!BA164&lt;&gt; 0, Source!BA164, 1)</f>
        <v>17.510000000000002</v>
      </c>
      <c r="K194" s="21">
        <f>Source!GZ164</f>
        <v>80546</v>
      </c>
    </row>
    <row r="195" spans="1:30" ht="14.25" x14ac:dyDescent="0.2">
      <c r="A195" s="15"/>
      <c r="B195" s="16"/>
      <c r="C195" s="16" t="s">
        <v>473</v>
      </c>
      <c r="D195" s="18"/>
      <c r="E195" s="17"/>
      <c r="F195" s="20">
        <f>Source!AM164</f>
        <v>251</v>
      </c>
      <c r="G195" s="19" t="str">
        <f>Source!DE164</f>
        <v>*1,15*0,5</v>
      </c>
      <c r="H195" s="17">
        <f>Source!AV164</f>
        <v>1</v>
      </c>
      <c r="I195" s="21">
        <f>(ROUND((ROUND((((Source!ET164*1.15*0.5))*Source!AV164*Source!I164),2)),2)+ROUND((ROUND(((Source!AE164-((Source!EU164*1.15*0.5)))*Source!AV164*Source!I164),2)),2))</f>
        <v>7216.25</v>
      </c>
      <c r="J195" s="17">
        <f>IF(Source!BB164&lt;&gt; 0, Source!BB164, 1)</f>
        <v>11.08</v>
      </c>
      <c r="K195" s="21">
        <f>Source!GY164</f>
        <v>79956.05</v>
      </c>
    </row>
    <row r="196" spans="1:30" ht="14.25" x14ac:dyDescent="0.2">
      <c r="A196" s="15"/>
      <c r="B196" s="16"/>
      <c r="C196" s="16" t="s">
        <v>474</v>
      </c>
      <c r="D196" s="18"/>
      <c r="E196" s="17"/>
      <c r="F196" s="20">
        <f>Source!AL164</f>
        <v>309</v>
      </c>
      <c r="G196" s="19" t="str">
        <f>Source!DD164</f>
        <v>*0,5</v>
      </c>
      <c r="H196" s="17">
        <f>Source!AW164</f>
        <v>1</v>
      </c>
      <c r="I196" s="21">
        <f>ROUND((ROUND((Source!AC164*Source!AW164*Source!I164),2)),2)</f>
        <v>7725</v>
      </c>
      <c r="J196" s="17">
        <f>IF(Source!BC164&lt;&gt; 0, Source!BC164, 1)</f>
        <v>7.48</v>
      </c>
      <c r="K196" s="21">
        <f>Source!P164</f>
        <v>57783</v>
      </c>
    </row>
    <row r="197" spans="1:30" ht="14.25" x14ac:dyDescent="0.2">
      <c r="A197" s="15"/>
      <c r="B197" s="16"/>
      <c r="C197" s="16" t="s">
        <v>475</v>
      </c>
      <c r="D197" s="18"/>
      <c r="E197" s="17"/>
      <c r="F197" s="20">
        <f>Source!GT164</f>
        <v>171</v>
      </c>
      <c r="G197" s="19" t="str">
        <f>Source!GU164</f>
        <v/>
      </c>
      <c r="H197" s="17"/>
      <c r="I197" s="21">
        <f>ROUND(Source!GV164*Source!I164, 2)</f>
        <v>8550</v>
      </c>
      <c r="J197" s="17">
        <f>IF(Source!GW164&lt;&gt; 0, Source!GW164, 1)</f>
        <v>5.81</v>
      </c>
      <c r="K197" s="21">
        <f>Source!GX164</f>
        <v>49675.5</v>
      </c>
    </row>
    <row r="198" spans="1:30" ht="28.5" x14ac:dyDescent="0.2">
      <c r="A198" s="15" t="str">
        <f>Source!E165</f>
        <v>24,1</v>
      </c>
      <c r="B198" s="16" t="str">
        <f>Source!F165</f>
        <v>9999990004</v>
      </c>
      <c r="C198" s="16" t="s">
        <v>498</v>
      </c>
      <c r="D198" s="18" t="str">
        <f>Source!H165</f>
        <v>м3</v>
      </c>
      <c r="E198" s="17">
        <f>Source!I165</f>
        <v>44.75</v>
      </c>
      <c r="F198" s="20">
        <f>Source!AK165</f>
        <v>0</v>
      </c>
      <c r="G198" s="22" t="s">
        <v>499</v>
      </c>
      <c r="H198" s="17">
        <f>Source!AW165</f>
        <v>1</v>
      </c>
      <c r="I198" s="21">
        <f>ROUND((ROUND((Source!AC165*Source!AW165*Source!I165),2)),2)+(ROUND((ROUND(((Source!ET165)*Source!AV165*Source!I165),2)),2)+ROUND((ROUND(((Source!AE165-(Source!EU165))*Source!AV165*Source!I165),2)),2))+ROUND((ROUND((Source!AF165*Source!AV165*Source!I165),2)),2)</f>
        <v>0</v>
      </c>
      <c r="J198" s="17">
        <f>IF(Source!BC165&lt;&gt; 0, Source!BC165, 1)</f>
        <v>1</v>
      </c>
      <c r="K198" s="21">
        <f>Source!O165</f>
        <v>0</v>
      </c>
      <c r="Q198">
        <f>ROUND((Source!DN165/100)*ROUND((ROUND((Source!AF165*Source!AV165*Source!I165),2)),2), 2)</f>
        <v>0</v>
      </c>
      <c r="R198">
        <f>Source!X165</f>
        <v>0</v>
      </c>
      <c r="S198">
        <f>ROUND((Source!DO165/100)*ROUND((ROUND((Source!AF165*Source!AV165*Source!I165),2)),2), 2)</f>
        <v>0</v>
      </c>
      <c r="T198">
        <f>Source!Y165</f>
        <v>0</v>
      </c>
      <c r="U198">
        <f>ROUND((175/100)*ROUND((ROUND((Source!AE165*Source!AV165*Source!I165),2)),2), 2)</f>
        <v>0</v>
      </c>
      <c r="V198">
        <f>ROUND((157/100)*ROUND(ROUND((ROUND((Source!AE165*Source!AV165*Source!I165),2)*Source!BS165),2), 2), 2)</f>
        <v>0</v>
      </c>
      <c r="X198">
        <f>IF(Source!BI165&lt;=1,I198, 0)</f>
        <v>0</v>
      </c>
      <c r="Y198">
        <f>IF(Source!BI165=2,I198, 0)</f>
        <v>0</v>
      </c>
      <c r="Z198">
        <f>IF(Source!BI165=3,I198, 0)</f>
        <v>0</v>
      </c>
      <c r="AA198">
        <f>IF(Source!BI165=4,I198, 0)</f>
        <v>0</v>
      </c>
    </row>
    <row r="199" spans="1:30" ht="14.25" x14ac:dyDescent="0.2">
      <c r="A199" s="23"/>
      <c r="B199" s="24"/>
      <c r="C199" s="24" t="s">
        <v>477</v>
      </c>
      <c r="D199" s="18"/>
      <c r="E199" s="25"/>
      <c r="F199" s="26">
        <f>Source!HA164</f>
        <v>1.79</v>
      </c>
      <c r="G199" s="18"/>
      <c r="H199" s="25"/>
      <c r="I199" s="27"/>
      <c r="J199" s="25"/>
      <c r="K199" s="26">
        <f>Source!HA164*Source!I164</f>
        <v>89.5</v>
      </c>
    </row>
    <row r="200" spans="1:30" ht="15" x14ac:dyDescent="0.25">
      <c r="A200" s="30"/>
      <c r="B200" s="30"/>
      <c r="C200" s="30"/>
      <c r="D200" s="30"/>
      <c r="E200" s="30"/>
      <c r="F200" s="30"/>
      <c r="G200" s="30"/>
      <c r="H200" s="74">
        <f>I194+I195+I196+I197+SUM(I198:I198)</f>
        <v>28091.25</v>
      </c>
      <c r="I200" s="74"/>
      <c r="J200" s="74">
        <f>K194+K195+K196+K197+SUM(K198:K198)</f>
        <v>267960.55</v>
      </c>
      <c r="K200" s="74"/>
      <c r="O200" s="28">
        <f>I194+I195+I196+I197+SUM(I198:I198)</f>
        <v>28091.25</v>
      </c>
      <c r="P200" s="28">
        <f>K194+K195+K196+K197+SUM(K198:K198)</f>
        <v>267960.55</v>
      </c>
      <c r="X200">
        <f>IF(Source!BI164&lt;=1,I194+I195+I196+I197-I197, 0)</f>
        <v>19541.25</v>
      </c>
      <c r="Y200">
        <f>IF(Source!BI164=2,I194+I195+I196+I197-I197, 0)</f>
        <v>0</v>
      </c>
      <c r="Z200">
        <f>IF(Source!BI164=3,I194+I195+I196+I197-I197, 0)</f>
        <v>0</v>
      </c>
      <c r="AA200">
        <f>IF(Source!BI164=4,I194+I195+I196+I197,I197)</f>
        <v>8550</v>
      </c>
      <c r="AC200" s="28">
        <f>I194+I195+I196+I197+SUM(I198:I198)</f>
        <v>28091.25</v>
      </c>
      <c r="AD200" s="28">
        <f>K194+K195+K196+K197+SUM(K198:K198)</f>
        <v>267960.55</v>
      </c>
    </row>
    <row r="201" spans="1:30" ht="57" x14ac:dyDescent="0.2">
      <c r="A201" s="15" t="str">
        <f>Source!E166</f>
        <v>25</v>
      </c>
      <c r="B201" s="16" t="str">
        <f>Source!F166</f>
        <v>3.1-6-10</v>
      </c>
      <c r="C201" s="16" t="s">
        <v>43</v>
      </c>
      <c r="D201" s="18" t="str">
        <f>Source!H166</f>
        <v>100 м3 грунта</v>
      </c>
      <c r="E201" s="17">
        <f>Source!I166</f>
        <v>0.44750000000000001</v>
      </c>
      <c r="F201" s="20"/>
      <c r="G201" s="19"/>
      <c r="H201" s="17"/>
      <c r="I201" s="21"/>
      <c r="J201" s="17"/>
      <c r="K201" s="21"/>
      <c r="Q201">
        <f>ROUND((Source!DN166/100)*ROUND((ROUND((Source!AF166*Source!AV166*Source!I166),2)),2), 2)</f>
        <v>7.37</v>
      </c>
      <c r="R201">
        <f>Source!X166</f>
        <v>148.26</v>
      </c>
      <c r="S201">
        <f>ROUND((Source!DO166/100)*ROUND((ROUND((Source!AF166*Source!AV166*Source!I166),2)),2), 2)</f>
        <v>5.79</v>
      </c>
      <c r="T201">
        <f>Source!Y166</f>
        <v>80.58</v>
      </c>
      <c r="U201">
        <f>ROUND((175/100)*ROUND((ROUND((Source!AE166*Source!AV166*Source!I166),2)),2), 2)</f>
        <v>131.13</v>
      </c>
      <c r="V201">
        <f>ROUND((157/100)*ROUND(ROUND((ROUND((Source!AE166*Source!AV166*Source!I166),2)*Source!BS166),2), 2), 2)</f>
        <v>2521.0300000000002</v>
      </c>
    </row>
    <row r="202" spans="1:30" x14ac:dyDescent="0.2">
      <c r="C202" s="31" t="str">
        <f>"Объем: "&amp;Source!I166&amp;"="&amp;Source!I165&amp;"/"&amp;"100"</f>
        <v>Объем: 0,4475=44,75/100</v>
      </c>
    </row>
    <row r="203" spans="1:30" ht="14.25" x14ac:dyDescent="0.2">
      <c r="A203" s="15"/>
      <c r="B203" s="16"/>
      <c r="C203" s="16" t="s">
        <v>479</v>
      </c>
      <c r="D203" s="18"/>
      <c r="E203" s="17"/>
      <c r="F203" s="20">
        <f>Source!AO166</f>
        <v>14.1</v>
      </c>
      <c r="G203" s="19" t="str">
        <f>Source!DG166</f>
        <v/>
      </c>
      <c r="H203" s="17">
        <f>Source!AV166</f>
        <v>1.1919999999999999</v>
      </c>
      <c r="I203" s="21">
        <f>ROUND((ROUND((Source!AF166*Source!AV166*Source!I166),2)),2)</f>
        <v>7.52</v>
      </c>
      <c r="J203" s="17">
        <f>IF(Source!BA166&lt;&gt; 0, Source!BA166, 1)</f>
        <v>21.43</v>
      </c>
      <c r="K203" s="21">
        <f>Source!S166</f>
        <v>161.15</v>
      </c>
      <c r="W203">
        <f>I203</f>
        <v>7.52</v>
      </c>
    </row>
    <row r="204" spans="1:30" ht="14.25" x14ac:dyDescent="0.2">
      <c r="A204" s="15"/>
      <c r="B204" s="16"/>
      <c r="C204" s="16" t="s">
        <v>480</v>
      </c>
      <c r="D204" s="18"/>
      <c r="E204" s="17"/>
      <c r="F204" s="20">
        <f>Source!AM166</f>
        <v>757.55</v>
      </c>
      <c r="G204" s="19" t="str">
        <f>Source!DE166</f>
        <v/>
      </c>
      <c r="H204" s="17">
        <f>Source!AV166</f>
        <v>1.1919999999999999</v>
      </c>
      <c r="I204" s="21">
        <f>(ROUND((ROUND(((Source!ET166)*Source!AV166*Source!I166),2)),2)+ROUND((ROUND(((Source!AE166-(Source!EU166))*Source!AV166*Source!I166),2)),2))</f>
        <v>404.09</v>
      </c>
      <c r="J204" s="17">
        <f>IF(Source!BB166&lt;&gt; 0, Source!BB166, 1)</f>
        <v>8.94</v>
      </c>
      <c r="K204" s="21">
        <f>Source!Q166</f>
        <v>3612.56</v>
      </c>
    </row>
    <row r="205" spans="1:30" ht="14.25" x14ac:dyDescent="0.2">
      <c r="A205" s="15"/>
      <c r="B205" s="16"/>
      <c r="C205" s="16" t="s">
        <v>481</v>
      </c>
      <c r="D205" s="18"/>
      <c r="E205" s="17"/>
      <c r="F205" s="20">
        <f>Source!AN166</f>
        <v>140.47999999999999</v>
      </c>
      <c r="G205" s="19" t="str">
        <f>Source!DF166</f>
        <v/>
      </c>
      <c r="H205" s="17">
        <f>Source!AV166</f>
        <v>1.1919999999999999</v>
      </c>
      <c r="I205" s="27">
        <f>ROUND((ROUND((Source!AE166*Source!AV166*Source!I166),2)),2)</f>
        <v>74.930000000000007</v>
      </c>
      <c r="J205" s="17">
        <f>IF(Source!BS166&lt;&gt; 0, Source!BS166, 1)</f>
        <v>21.43</v>
      </c>
      <c r="K205" s="27">
        <f>Source!R166</f>
        <v>1605.75</v>
      </c>
      <c r="W205">
        <f>I205</f>
        <v>74.930000000000007</v>
      </c>
    </row>
    <row r="206" spans="1:30" ht="14.25" x14ac:dyDescent="0.2">
      <c r="A206" s="15"/>
      <c r="B206" s="16"/>
      <c r="C206" s="16" t="s">
        <v>482</v>
      </c>
      <c r="D206" s="18" t="s">
        <v>483</v>
      </c>
      <c r="E206" s="17">
        <f>Source!DN166</f>
        <v>98</v>
      </c>
      <c r="F206" s="20"/>
      <c r="G206" s="19"/>
      <c r="H206" s="17"/>
      <c r="I206" s="21">
        <f>SUM(Q201:Q205)</f>
        <v>7.37</v>
      </c>
      <c r="J206" s="17">
        <f>Source!BZ166</f>
        <v>92</v>
      </c>
      <c r="K206" s="21">
        <f>SUM(R201:R205)</f>
        <v>148.26</v>
      </c>
    </row>
    <row r="207" spans="1:30" ht="14.25" x14ac:dyDescent="0.2">
      <c r="A207" s="15"/>
      <c r="B207" s="16"/>
      <c r="C207" s="16" t="s">
        <v>484</v>
      </c>
      <c r="D207" s="18" t="s">
        <v>483</v>
      </c>
      <c r="E207" s="17">
        <f>Source!DO166</f>
        <v>77</v>
      </c>
      <c r="F207" s="20"/>
      <c r="G207" s="19"/>
      <c r="H207" s="17"/>
      <c r="I207" s="21">
        <f>SUM(S201:S206)</f>
        <v>5.79</v>
      </c>
      <c r="J207" s="17">
        <f>Source!CA166</f>
        <v>50</v>
      </c>
      <c r="K207" s="21">
        <f>SUM(T201:T206)</f>
        <v>80.58</v>
      </c>
    </row>
    <row r="208" spans="1:30" ht="14.25" x14ac:dyDescent="0.2">
      <c r="A208" s="15"/>
      <c r="B208" s="16"/>
      <c r="C208" s="16" t="s">
        <v>485</v>
      </c>
      <c r="D208" s="18" t="s">
        <v>483</v>
      </c>
      <c r="E208" s="17">
        <f>175</f>
        <v>175</v>
      </c>
      <c r="F208" s="20"/>
      <c r="G208" s="19"/>
      <c r="H208" s="17"/>
      <c r="I208" s="21">
        <f>SUM(U201:U207)</f>
        <v>131.13</v>
      </c>
      <c r="J208" s="17">
        <f>157</f>
        <v>157</v>
      </c>
      <c r="K208" s="21">
        <f>SUM(V201:V207)</f>
        <v>2521.0300000000002</v>
      </c>
    </row>
    <row r="209" spans="1:27" ht="14.25" x14ac:dyDescent="0.2">
      <c r="A209" s="15"/>
      <c r="B209" s="16"/>
      <c r="C209" s="16" t="s">
        <v>486</v>
      </c>
      <c r="D209" s="18" t="s">
        <v>487</v>
      </c>
      <c r="E209" s="17">
        <f>Source!AQ166</f>
        <v>1.38</v>
      </c>
      <c r="F209" s="20"/>
      <c r="G209" s="19" t="str">
        <f>Source!DI166</f>
        <v/>
      </c>
      <c r="H209" s="17">
        <f>Source!AV166</f>
        <v>1.1919999999999999</v>
      </c>
      <c r="I209" s="21">
        <f>Source!U166</f>
        <v>0.73611959999999987</v>
      </c>
      <c r="J209" s="17"/>
      <c r="K209" s="21"/>
    </row>
    <row r="210" spans="1:27" ht="15" x14ac:dyDescent="0.25">
      <c r="A210" s="30"/>
      <c r="B210" s="30"/>
      <c r="C210" s="30"/>
      <c r="D210" s="30"/>
      <c r="E210" s="30"/>
      <c r="F210" s="30"/>
      <c r="G210" s="30"/>
      <c r="H210" s="74">
        <f>I203+I204+I206+I207+I208</f>
        <v>555.9</v>
      </c>
      <c r="I210" s="74"/>
      <c r="J210" s="74">
        <f>K203+K204+K206+K207+K208</f>
        <v>6523.58</v>
      </c>
      <c r="K210" s="74"/>
      <c r="O210" s="28">
        <f>I203+I204+I206+I207+I208</f>
        <v>555.9</v>
      </c>
      <c r="P210" s="28">
        <f>K203+K204+K206+K207+K208</f>
        <v>6523.58</v>
      </c>
      <c r="X210">
        <f>IF(Source!BI166&lt;=1,I203+I204+I206+I207+I208-0, 0)</f>
        <v>555.9</v>
      </c>
      <c r="Y210">
        <f>IF(Source!BI166=2,I203+I204+I206+I207+I208-0, 0)</f>
        <v>0</v>
      </c>
      <c r="Z210">
        <f>IF(Source!BI166=3,I203+I204+I206+I207+I208-0, 0)</f>
        <v>0</v>
      </c>
      <c r="AA210">
        <f>IF(Source!BI166=4,I203+I204+I206+I207+I208,0)</f>
        <v>0</v>
      </c>
    </row>
    <row r="211" spans="1:27" ht="42.75" x14ac:dyDescent="0.2">
      <c r="A211" s="15" t="str">
        <f>Source!E167</f>
        <v>26</v>
      </c>
      <c r="B211" s="16" t="str">
        <f>Source!F167</f>
        <v>15.1-50-2</v>
      </c>
      <c r="C211" s="16" t="s">
        <v>51</v>
      </c>
      <c r="D211" s="18" t="str">
        <f>Source!H167</f>
        <v>1 м3</v>
      </c>
      <c r="E211" s="17">
        <f>Source!I167</f>
        <v>44.75</v>
      </c>
      <c r="F211" s="20"/>
      <c r="G211" s="19"/>
      <c r="H211" s="17"/>
      <c r="I211" s="21"/>
      <c r="J211" s="17"/>
      <c r="K211" s="21"/>
      <c r="Q211">
        <f>ROUND((Source!DN167/100)*ROUND((ROUND((Source!AF167*Source!AV167*Source!I167),2)),2), 2)</f>
        <v>0</v>
      </c>
      <c r="R211">
        <f>Source!X167</f>
        <v>0</v>
      </c>
      <c r="S211">
        <f>ROUND((Source!DO167/100)*ROUND((ROUND((Source!AF167*Source!AV167*Source!I167),2)),2), 2)</f>
        <v>0</v>
      </c>
      <c r="T211">
        <f>Source!Y167</f>
        <v>0</v>
      </c>
      <c r="U211">
        <f>ROUND((175/100)*ROUND((ROUND((Source!AE167*Source!AV167*Source!I167),2)),2), 2)</f>
        <v>0</v>
      </c>
      <c r="V211">
        <f>ROUND((157/100)*ROUND(ROUND((ROUND((Source!AE167*Source!AV167*Source!I167),2)*Source!BS167),2), 2), 2)</f>
        <v>0</v>
      </c>
    </row>
    <row r="212" spans="1:27" x14ac:dyDescent="0.2">
      <c r="C212" s="31" t="str">
        <f>"Объем: "&amp;Source!I167&amp;"="&amp;Source!I166&amp;"*"&amp;"100"</f>
        <v>Объем: 44,75=0,4475*100</v>
      </c>
    </row>
    <row r="213" spans="1:27" ht="14.25" x14ac:dyDescent="0.2">
      <c r="A213" s="15"/>
      <c r="B213" s="16"/>
      <c r="C213" s="16" t="s">
        <v>480</v>
      </c>
      <c r="D213" s="18"/>
      <c r="E213" s="17"/>
      <c r="F213" s="20">
        <f>Source!AM167</f>
        <v>73.78</v>
      </c>
      <c r="G213" s="19" t="str">
        <f>Source!DE167</f>
        <v/>
      </c>
      <c r="H213" s="17">
        <f>Source!AV167</f>
        <v>1</v>
      </c>
      <c r="I213" s="21">
        <f>(ROUND((ROUND(((Source!ET167+(SUM(SmtRes!BD55:'SmtRes'!BD55)+SUM(EtalonRes!AM53:'EtalonRes'!AM53)))*Source!AV167*Source!I167),2)),2)+ROUND((ROUND(((Source!AE167-(Source!EU167))*Source!AV167*Source!I167),2)),2))</f>
        <v>2030.31</v>
      </c>
      <c r="J213" s="17">
        <f>IF(Source!BB167&lt;&gt; 0, Source!BB167, 1)</f>
        <v>9.5299999999999994</v>
      </c>
      <c r="K213" s="21">
        <f>Source!Q167</f>
        <v>19348.849999999999</v>
      </c>
    </row>
    <row r="214" spans="1:27" ht="15" x14ac:dyDescent="0.25">
      <c r="A214" s="30"/>
      <c r="B214" s="30"/>
      <c r="C214" s="30"/>
      <c r="D214" s="30"/>
      <c r="E214" s="30"/>
      <c r="F214" s="30"/>
      <c r="G214" s="30"/>
      <c r="H214" s="74">
        <f>I213</f>
        <v>2030.31</v>
      </c>
      <c r="I214" s="74"/>
      <c r="J214" s="74">
        <f>K213</f>
        <v>19348.849999999999</v>
      </c>
      <c r="K214" s="74"/>
      <c r="O214" s="28">
        <f>I213</f>
        <v>2030.31</v>
      </c>
      <c r="P214" s="28">
        <f>K213</f>
        <v>19348.849999999999</v>
      </c>
      <c r="X214">
        <f>IF(Source!BI167&lt;=1,I213-0, 0)</f>
        <v>0</v>
      </c>
      <c r="Y214">
        <f>IF(Source!BI167=2,I213-0, 0)</f>
        <v>0</v>
      </c>
      <c r="Z214">
        <f>IF(Source!BI167=3,I213-0, 0)</f>
        <v>0</v>
      </c>
      <c r="AA214">
        <f>IF(Source!BI167=4,I213,0)</f>
        <v>2030.31</v>
      </c>
    </row>
    <row r="215" spans="1:27" ht="71.25" x14ac:dyDescent="0.2">
      <c r="A215" s="15" t="str">
        <f>Source!E168</f>
        <v>27</v>
      </c>
      <c r="B215" s="16" t="str">
        <f>Source!F168</f>
        <v>15.1-0-9</v>
      </c>
      <c r="C215" s="16" t="s">
        <v>59</v>
      </c>
      <c r="D215" s="18" t="str">
        <f>Source!H168</f>
        <v>1 Т</v>
      </c>
      <c r="E215" s="17">
        <f>Source!I168</f>
        <v>80.55</v>
      </c>
      <c r="F215" s="20"/>
      <c r="G215" s="19"/>
      <c r="H215" s="17"/>
      <c r="I215" s="21"/>
      <c r="J215" s="17"/>
      <c r="K215" s="21"/>
      <c r="Q215">
        <f>ROUND((Source!DN168/100)*ROUND((ROUND((Source!AF168*Source!AV168*Source!I168),2)),2), 2)</f>
        <v>0</v>
      </c>
      <c r="R215">
        <f>Source!X168</f>
        <v>0</v>
      </c>
      <c r="S215">
        <f>ROUND((Source!DO168/100)*ROUND((ROUND((Source!AF168*Source!AV168*Source!I168),2)),2), 2)</f>
        <v>0</v>
      </c>
      <c r="T215">
        <f>Source!Y168</f>
        <v>0</v>
      </c>
      <c r="U215">
        <f>ROUND((175/100)*ROUND((ROUND((Source!AE168*Source!AV168*Source!I168),2)),2), 2)</f>
        <v>0</v>
      </c>
      <c r="V215">
        <f>ROUND((157/100)*ROUND(ROUND((ROUND((Source!AE168*Source!AV168*Source!I168),2)*Source!BS168),2), 2), 2)</f>
        <v>0</v>
      </c>
    </row>
    <row r="216" spans="1:27" x14ac:dyDescent="0.2">
      <c r="C216" s="31" t="str">
        <f>"Объем: "&amp;Source!I168&amp;"="&amp;Source!I167&amp;"*"&amp;"1,8"</f>
        <v>Объем: 80,55=44,75*1,8</v>
      </c>
    </row>
    <row r="217" spans="1:27" ht="14.25" x14ac:dyDescent="0.2">
      <c r="A217" s="15"/>
      <c r="B217" s="16"/>
      <c r="C217" s="16" t="s">
        <v>480</v>
      </c>
      <c r="D217" s="18"/>
      <c r="E217" s="17"/>
      <c r="F217" s="20">
        <f>Source!AM168</f>
        <v>43.28</v>
      </c>
      <c r="G217" s="19" t="str">
        <f>Source!DE168</f>
        <v/>
      </c>
      <c r="H217" s="17">
        <f>Source!AV168</f>
        <v>1</v>
      </c>
      <c r="I217" s="21">
        <f>(ROUND((ROUND(((Source!ET168)*Source!AV168*Source!I168),2)),2)+ROUND((ROUND(((Source!AE168-(Source!EU168))*Source!AV168*Source!I168),2)),2))</f>
        <v>3486.2</v>
      </c>
      <c r="J217" s="17">
        <f>IF(Source!BB168&lt;&gt; 0, Source!BB168, 1)</f>
        <v>2.87</v>
      </c>
      <c r="K217" s="21">
        <f>Source!Q168</f>
        <v>10005.39</v>
      </c>
    </row>
    <row r="218" spans="1:27" ht="15" x14ac:dyDescent="0.25">
      <c r="A218" s="30"/>
      <c r="B218" s="30"/>
      <c r="C218" s="30"/>
      <c r="D218" s="30"/>
      <c r="E218" s="30"/>
      <c r="F218" s="30"/>
      <c r="G218" s="30"/>
      <c r="H218" s="74">
        <f>I217</f>
        <v>3486.2</v>
      </c>
      <c r="I218" s="74"/>
      <c r="J218" s="74">
        <f>K217</f>
        <v>10005.39</v>
      </c>
      <c r="K218" s="74"/>
      <c r="O218" s="28">
        <f>I217</f>
        <v>3486.2</v>
      </c>
      <c r="P218" s="28">
        <f>K217</f>
        <v>10005.39</v>
      </c>
      <c r="X218">
        <f>IF(Source!BI168&lt;=1,I217-0, 0)</f>
        <v>0</v>
      </c>
      <c r="Y218">
        <f>IF(Source!BI168=2,I217-0, 0)</f>
        <v>0</v>
      </c>
      <c r="Z218">
        <f>IF(Source!BI168=3,I217-0, 0)</f>
        <v>0</v>
      </c>
      <c r="AA218">
        <f>IF(Source!BI168=4,I217,0)</f>
        <v>3486.2</v>
      </c>
    </row>
    <row r="220" spans="1:27" ht="15" x14ac:dyDescent="0.25">
      <c r="A220" s="76" t="str">
        <f>CONCATENATE("Итого по разделу: ",IF(Source!G170&lt;&gt;"Новый раздел", Source!G170, ""))</f>
        <v>Итого по разделу: ВОДОВЫПУСК Ду100мм труба на ж/б основании   - 50м</v>
      </c>
      <c r="B220" s="76"/>
      <c r="C220" s="76"/>
      <c r="D220" s="76"/>
      <c r="E220" s="76"/>
      <c r="F220" s="76"/>
      <c r="G220" s="76"/>
      <c r="H220" s="61">
        <f>SUM(O185:O219)</f>
        <v>36760.54</v>
      </c>
      <c r="I220" s="75"/>
      <c r="J220" s="61">
        <f>SUM(P185:P219)</f>
        <v>320998.09999999998</v>
      </c>
      <c r="K220" s="75"/>
    </row>
    <row r="221" spans="1:27" ht="15" x14ac:dyDescent="0.25">
      <c r="A221" s="76" t="s">
        <v>488</v>
      </c>
      <c r="B221" s="76"/>
      <c r="C221" s="76"/>
      <c r="D221" s="76"/>
      <c r="E221" s="76"/>
      <c r="F221" s="76"/>
      <c r="G221" s="76"/>
      <c r="H221" s="61">
        <f>SUM(AC185:AC220)</f>
        <v>30688.13</v>
      </c>
      <c r="I221" s="75"/>
      <c r="J221" s="61">
        <f>SUM(AD185:AD220)</f>
        <v>285120.27999999997</v>
      </c>
      <c r="K221" s="75"/>
    </row>
    <row r="222" spans="1:27" hidden="1" x14ac:dyDescent="0.2">
      <c r="A222" t="s">
        <v>489</v>
      </c>
      <c r="I222">
        <f>SUM(AE185:AE221)</f>
        <v>0</v>
      </c>
      <c r="J222">
        <f>SUM(AF185:AF221)</f>
        <v>0</v>
      </c>
    </row>
    <row r="224" spans="1:27" ht="16.5" x14ac:dyDescent="0.25">
      <c r="A224" s="73" t="str">
        <f>CONCATENATE("Раздел: ",IF(Source!G199&lt;&gt;"Новый раздел", Source!G199, ""))</f>
        <v>Раздел: БАЙПАС 2Ду300мм -50м</v>
      </c>
      <c r="B224" s="73"/>
      <c r="C224" s="73"/>
      <c r="D224" s="73"/>
      <c r="E224" s="73"/>
      <c r="F224" s="73"/>
      <c r="G224" s="73"/>
      <c r="H224" s="73"/>
      <c r="I224" s="73"/>
      <c r="J224" s="73"/>
      <c r="K224" s="73"/>
    </row>
    <row r="225" spans="1:30" ht="42.75" x14ac:dyDescent="0.2">
      <c r="A225" s="15" t="str">
        <f>Source!E203</f>
        <v>28</v>
      </c>
      <c r="B225" s="16" t="str">
        <f>Source!F203</f>
        <v>16.1-3030-4</v>
      </c>
      <c r="C225" s="16" t="s">
        <v>209</v>
      </c>
      <c r="D225" s="18" t="str">
        <f>Source!H203</f>
        <v>1 М</v>
      </c>
      <c r="E225" s="17">
        <f>Source!I203</f>
        <v>50</v>
      </c>
      <c r="F225" s="20"/>
      <c r="G225" s="19"/>
      <c r="H225" s="17"/>
      <c r="I225" s="21"/>
      <c r="J225" s="17"/>
      <c r="K225" s="21"/>
      <c r="Q225">
        <f>ROUND((Source!DN203/100)*ROUND((ROUND((Source!AF203*Source!AV203*Source!I203),2)),2), 2)</f>
        <v>0</v>
      </c>
      <c r="R225">
        <f>Source!X203</f>
        <v>0</v>
      </c>
      <c r="S225">
        <f>ROUND((Source!DO203/100)*ROUND((ROUND((Source!AF203*Source!AV203*Source!I203),2)),2), 2)</f>
        <v>0</v>
      </c>
      <c r="T225">
        <f>Source!Y203</f>
        <v>0</v>
      </c>
      <c r="U225">
        <f>ROUND((175/100)*ROUND((ROUND((Source!AE203*Source!AV203*Source!I203),2)),2), 2)</f>
        <v>0</v>
      </c>
      <c r="V225">
        <f>ROUND((157/100)*ROUND(ROUND((ROUND((Source!AE203*Source!AV203*Source!I203),2)*Source!BS203),2), 2), 2)</f>
        <v>0</v>
      </c>
    </row>
    <row r="226" spans="1:30" ht="14.25" x14ac:dyDescent="0.2">
      <c r="A226" s="15"/>
      <c r="B226" s="16"/>
      <c r="C226" s="16" t="s">
        <v>471</v>
      </c>
      <c r="D226" s="18"/>
      <c r="E226" s="17"/>
      <c r="F226" s="20"/>
      <c r="G226" s="19"/>
      <c r="H226" s="17"/>
      <c r="I226" s="21">
        <f>I227+I228+I229</f>
        <v>139255</v>
      </c>
      <c r="J226" s="17"/>
      <c r="K226" s="21">
        <f>K227+K228+K229</f>
        <v>1117422.8999999999</v>
      </c>
    </row>
    <row r="227" spans="1:30" ht="14.25" x14ac:dyDescent="0.2">
      <c r="A227" s="15"/>
      <c r="B227" s="16"/>
      <c r="C227" s="16" t="s">
        <v>472</v>
      </c>
      <c r="D227" s="18"/>
      <c r="E227" s="17"/>
      <c r="F227" s="20">
        <f>Source!AO203</f>
        <v>590</v>
      </c>
      <c r="G227" s="19" t="str">
        <f>Source!DG203</f>
        <v>*1,15</v>
      </c>
      <c r="H227" s="17">
        <f>Source!AV203</f>
        <v>1</v>
      </c>
      <c r="I227" s="21">
        <f>ROUND((ROUND((Source!AF203*Source!AV203*Source!I203),2)),2)</f>
        <v>33925</v>
      </c>
      <c r="J227" s="17">
        <f>IF(Source!BA203&lt;&gt; 0, Source!BA203, 1)</f>
        <v>17.64</v>
      </c>
      <c r="K227" s="21">
        <f>Source!GZ203</f>
        <v>598437</v>
      </c>
    </row>
    <row r="228" spans="1:30" ht="14.25" x14ac:dyDescent="0.2">
      <c r="A228" s="15"/>
      <c r="B228" s="16"/>
      <c r="C228" s="16" t="s">
        <v>473</v>
      </c>
      <c r="D228" s="18"/>
      <c r="E228" s="17"/>
      <c r="F228" s="20">
        <f>Source!AM203</f>
        <v>111</v>
      </c>
      <c r="G228" s="19" t="str">
        <f>Source!DE203</f>
        <v>*1,15</v>
      </c>
      <c r="H228" s="17">
        <f>Source!AV203</f>
        <v>1</v>
      </c>
      <c r="I228" s="21">
        <f>(ROUND((ROUND((((Source!ET203*1.15)+(SUM(SmtRes!BD57:'SmtRes'!BD57)+SUM(EtalonRes!AM55:'EtalonRes'!AM55)))*Source!AV203*Source!I203),2)),2)+ROUND((ROUND(((Source!AE203-((Source!EU203*1.15)))*Source!AV203*Source!I203),2)),2))</f>
        <v>5980</v>
      </c>
      <c r="J228" s="17">
        <f>IF(Source!BB203&lt;&gt; 0, Source!BB203, 1)</f>
        <v>10.53</v>
      </c>
      <c r="K228" s="21">
        <f>Source!GY203</f>
        <v>62969.4</v>
      </c>
    </row>
    <row r="229" spans="1:30" ht="14.25" x14ac:dyDescent="0.2">
      <c r="A229" s="15"/>
      <c r="B229" s="16"/>
      <c r="C229" s="16" t="s">
        <v>474</v>
      </c>
      <c r="D229" s="18"/>
      <c r="E229" s="17"/>
      <c r="F229" s="20">
        <f>Source!AL203</f>
        <v>1987</v>
      </c>
      <c r="G229" s="19" t="str">
        <f>Source!DD203</f>
        <v/>
      </c>
      <c r="H229" s="17">
        <f>Source!AW203</f>
        <v>1</v>
      </c>
      <c r="I229" s="21">
        <f>ROUND((ROUND((Source!AC203*Source!AW203*Source!I203),2)),2)</f>
        <v>99350</v>
      </c>
      <c r="J229" s="17">
        <f>IF(Source!BC203&lt;&gt; 0, Source!BC203, 1)</f>
        <v>4.59</v>
      </c>
      <c r="K229" s="21">
        <f>Source!P203</f>
        <v>456016.5</v>
      </c>
    </row>
    <row r="230" spans="1:30" ht="15" x14ac:dyDescent="0.25">
      <c r="A230" s="30"/>
      <c r="B230" s="30"/>
      <c r="C230" s="30"/>
      <c r="D230" s="30"/>
      <c r="E230" s="30"/>
      <c r="F230" s="30"/>
      <c r="G230" s="30"/>
      <c r="H230" s="74">
        <f>I227+I228+I229</f>
        <v>139255</v>
      </c>
      <c r="I230" s="74"/>
      <c r="J230" s="74">
        <f>K227+K228+K229</f>
        <v>1117422.8999999999</v>
      </c>
      <c r="K230" s="74"/>
      <c r="O230" s="28">
        <f>I227+I228+I229</f>
        <v>139255</v>
      </c>
      <c r="P230" s="28">
        <f>K227+K228+K229</f>
        <v>1117422.8999999999</v>
      </c>
      <c r="X230">
        <f>IF(Source!BI203&lt;=1,I227+I228+I229-0, 0)</f>
        <v>139255</v>
      </c>
      <c r="Y230">
        <f>IF(Source!BI203=2,I227+I228+I229-0, 0)</f>
        <v>0</v>
      </c>
      <c r="Z230">
        <f>IF(Source!BI203=3,I227+I228+I229-0, 0)</f>
        <v>0</v>
      </c>
      <c r="AA230">
        <f>IF(Source!BI203=4,I227+I228+I229,0)</f>
        <v>0</v>
      </c>
      <c r="AC230" s="28">
        <f>I227+I228+I229</f>
        <v>139255</v>
      </c>
      <c r="AD230" s="28">
        <f>K227+K228+K229</f>
        <v>1117422.8999999999</v>
      </c>
    </row>
    <row r="231" spans="1:30" ht="42.75" x14ac:dyDescent="0.2">
      <c r="A231" s="15" t="str">
        <f>Source!E204</f>
        <v>29</v>
      </c>
      <c r="B231" s="16" t="str">
        <f>Source!F204</f>
        <v>3.24-4-9</v>
      </c>
      <c r="C231" s="16" t="s">
        <v>213</v>
      </c>
      <c r="D231" s="18" t="str">
        <f>Source!H204</f>
        <v>1 км трубопровода</v>
      </c>
      <c r="E231" s="17">
        <f>Source!I204</f>
        <v>0.1</v>
      </c>
      <c r="F231" s="20"/>
      <c r="G231" s="19"/>
      <c r="H231" s="17"/>
      <c r="I231" s="21"/>
      <c r="J231" s="17"/>
      <c r="K231" s="21"/>
      <c r="Q231">
        <f>ROUND((Source!DN204/100)*ROUND((ROUND((Source!AF204*Source!AV204*Source!I204),2)),2), 2)</f>
        <v>946.16</v>
      </c>
      <c r="R231">
        <f>Source!X204</f>
        <v>16160.02</v>
      </c>
      <c r="S231">
        <f>ROUND((Source!DO204/100)*ROUND((ROUND((Source!AF204*Source!AV204*Source!I204),2)),2), 2)</f>
        <v>803.88</v>
      </c>
      <c r="T231">
        <f>Source!Y204</f>
        <v>8080.01</v>
      </c>
      <c r="U231">
        <f>ROUND((175/100)*ROUND((ROUND((Source!AE204*Source!AV204*Source!I204),2)),2), 2)</f>
        <v>691.29</v>
      </c>
      <c r="V231">
        <f>ROUND((157/100)*ROUND(ROUND((ROUND((Source!AE204*Source!AV204*Source!I204),2)*Source!BS204),2), 2), 2)</f>
        <v>13290.49</v>
      </c>
    </row>
    <row r="232" spans="1:30" x14ac:dyDescent="0.2">
      <c r="C232" s="31" t="str">
        <f>"Объем: "&amp;Source!I204&amp;"="&amp;Source!I203&amp;"*"&amp;"2/"&amp;"1000"</f>
        <v>Объем: 0,1=50*2/1000</v>
      </c>
    </row>
    <row r="233" spans="1:30" ht="14.25" x14ac:dyDescent="0.2">
      <c r="A233" s="15"/>
      <c r="B233" s="16"/>
      <c r="C233" s="16" t="s">
        <v>479</v>
      </c>
      <c r="D233" s="18"/>
      <c r="E233" s="17"/>
      <c r="F233" s="20">
        <f>Source!AO204</f>
        <v>9662.7999999999993</v>
      </c>
      <c r="G233" s="19" t="str">
        <f>Source!DG204</f>
        <v>*1,15*0,6</v>
      </c>
      <c r="H233" s="17">
        <f>Source!AV204</f>
        <v>1.0669999999999999</v>
      </c>
      <c r="I233" s="21">
        <f>ROUND((ROUND((Source!AF204*Source!AV204*Source!I204),2)),2)</f>
        <v>711.4</v>
      </c>
      <c r="J233" s="17">
        <f>IF(Source!BA204&lt;&gt; 0, Source!BA204, 1)</f>
        <v>21.43</v>
      </c>
      <c r="K233" s="21">
        <f>Source!S204</f>
        <v>15245.3</v>
      </c>
      <c r="W233">
        <f>I233</f>
        <v>711.4</v>
      </c>
    </row>
    <row r="234" spans="1:30" ht="14.25" x14ac:dyDescent="0.2">
      <c r="A234" s="15"/>
      <c r="B234" s="16"/>
      <c r="C234" s="16" t="s">
        <v>480</v>
      </c>
      <c r="D234" s="18"/>
      <c r="E234" s="17"/>
      <c r="F234" s="20">
        <f>Source!AM204</f>
        <v>20258.099999999999</v>
      </c>
      <c r="G234" s="19" t="str">
        <f>Source!DE204</f>
        <v>*1,15*0,6</v>
      </c>
      <c r="H234" s="17">
        <f>Source!AV204</f>
        <v>1.0669999999999999</v>
      </c>
      <c r="I234" s="21">
        <f>(ROUND((ROUND((((Source!ET204*1.15*0.6)+(SUM(SmtRes!BD58:'SmtRes'!BD74)+SUM(EtalonRes!AM56:'EtalonRes'!AM75)))*Source!AV204*Source!I204),2)),2)+ROUND((ROUND(((Source!AE204-((Source!EU204*1.15*0.6)+(SUM(SmtRes!BE58:'SmtRes'!BE74)+SUM(EtalonRes!AN56:'EtalonRes'!AN75))))*Source!AV204*Source!I204),2)),2))</f>
        <v>2378.9299999999998</v>
      </c>
      <c r="J234" s="17">
        <f>IF(Source!BB204&lt;&gt; 0, Source!BB204, 1)</f>
        <v>9.58</v>
      </c>
      <c r="K234" s="21">
        <f>Source!Q204</f>
        <v>22790.15</v>
      </c>
    </row>
    <row r="235" spans="1:30" ht="14.25" x14ac:dyDescent="0.2">
      <c r="A235" s="15"/>
      <c r="B235" s="16"/>
      <c r="C235" s="16" t="s">
        <v>481</v>
      </c>
      <c r="D235" s="18"/>
      <c r="E235" s="17"/>
      <c r="F235" s="20">
        <f>Source!AN204</f>
        <v>3120.29</v>
      </c>
      <c r="G235" s="19" t="str">
        <f>Source!DF204</f>
        <v>*1,15*0,6</v>
      </c>
      <c r="H235" s="17">
        <f>Source!AV204</f>
        <v>1.0669999999999999</v>
      </c>
      <c r="I235" s="27">
        <f>ROUND((ROUND((Source!AE204*Source!AV204*Source!I204),2)),2)</f>
        <v>395.02</v>
      </c>
      <c r="J235" s="17">
        <f>IF(Source!BS204&lt;&gt; 0, Source!BS204, 1)</f>
        <v>21.43</v>
      </c>
      <c r="K235" s="27">
        <f>Source!R204</f>
        <v>8465.2800000000007</v>
      </c>
      <c r="W235">
        <f>I235</f>
        <v>395.02</v>
      </c>
    </row>
    <row r="236" spans="1:30" ht="14.25" x14ac:dyDescent="0.2">
      <c r="A236" s="15" t="str">
        <f>Source!E205</f>
        <v>29,1</v>
      </c>
      <c r="B236" s="16" t="str">
        <f>Source!F205</f>
        <v>М/к</v>
      </c>
      <c r="C236" s="16"/>
      <c r="D236" s="18" t="str">
        <f>Source!H205</f>
        <v>т</v>
      </c>
      <c r="E236" s="17">
        <f>Source!I205</f>
        <v>0.51400000000000001</v>
      </c>
      <c r="F236" s="20">
        <f>Source!AK205</f>
        <v>0</v>
      </c>
      <c r="G236" s="22" t="s">
        <v>3</v>
      </c>
      <c r="H236" s="17">
        <f>Source!AW205</f>
        <v>1.0029999999999999</v>
      </c>
      <c r="I236" s="21">
        <f>ROUND((ROUND((Source!AC205*Source!AW205*Source!I205),2)),2)+(ROUND((ROUND(((Source!ET205)*Source!AV205*Source!I205),2)),2)+ROUND((ROUND(((Source!AE205-(Source!EU205))*Source!AV205*Source!I205),2)),2))+ROUND((ROUND((Source!AF205*Source!AV205*Source!I205),2)),2)</f>
        <v>0</v>
      </c>
      <c r="J236" s="17">
        <f>IF(Source!BC205&lt;&gt; 0, Source!BC205, 1)</f>
        <v>1</v>
      </c>
      <c r="K236" s="21">
        <f>Source!O205</f>
        <v>0</v>
      </c>
      <c r="Q236">
        <f>ROUND((Source!DN205/100)*ROUND((ROUND((Source!AF205*Source!AV205*Source!I205),2)),2), 2)</f>
        <v>0</v>
      </c>
      <c r="R236">
        <f>Source!X205</f>
        <v>0</v>
      </c>
      <c r="S236">
        <f>ROUND((Source!DO205/100)*ROUND((ROUND((Source!AF205*Source!AV205*Source!I205),2)),2), 2)</f>
        <v>0</v>
      </c>
      <c r="T236">
        <f>Source!Y205</f>
        <v>0</v>
      </c>
      <c r="U236">
        <f>ROUND((175/100)*ROUND((ROUND((Source!AE205*Source!AV205*Source!I205),2)),2), 2)</f>
        <v>0</v>
      </c>
      <c r="V236">
        <f>ROUND((157/100)*ROUND(ROUND((ROUND((Source!AE205*Source!AV205*Source!I205),2)*Source!BS205),2), 2), 2)</f>
        <v>0</v>
      </c>
      <c r="X236">
        <f>IF(Source!BI205&lt;=1,I236, 0)</f>
        <v>0</v>
      </c>
      <c r="Y236">
        <f>IF(Source!BI205=2,I236, 0)</f>
        <v>0</v>
      </c>
      <c r="Z236">
        <f>IF(Source!BI205=3,I236, 0)</f>
        <v>0</v>
      </c>
      <c r="AA236">
        <f>IF(Source!BI205=4,I236, 0)</f>
        <v>0</v>
      </c>
    </row>
    <row r="237" spans="1:30" ht="14.25" x14ac:dyDescent="0.2">
      <c r="A237" s="15" t="str">
        <f>Source!E206</f>
        <v>29,2</v>
      </c>
      <c r="B237" s="16" t="str">
        <f>Source!F206</f>
        <v>Лом</v>
      </c>
      <c r="C237" s="16" t="s">
        <v>223</v>
      </c>
      <c r="D237" s="18" t="str">
        <f>Source!H206</f>
        <v>т</v>
      </c>
      <c r="E237" s="17">
        <f>Source!I206</f>
        <v>5.8730000000000002</v>
      </c>
      <c r="F237" s="20">
        <f>Source!AK206</f>
        <v>0</v>
      </c>
      <c r="G237" s="22" t="s">
        <v>3</v>
      </c>
      <c r="H237" s="17">
        <f>Source!AW206</f>
        <v>1.0029999999999999</v>
      </c>
      <c r="I237" s="21">
        <f>ROUND((ROUND((Source!AC206*Source!AW206*Source!I206),2)),2)+(ROUND((ROUND(((Source!ET206)*Source!AV206*Source!I206),2)),2)+ROUND((ROUND(((Source!AE206-(Source!EU206))*Source!AV206*Source!I206),2)),2))+ROUND((ROUND((Source!AF206*Source!AV206*Source!I206),2)),2)</f>
        <v>0</v>
      </c>
      <c r="J237" s="17">
        <f>IF(Source!BC206&lt;&gt; 0, Source!BC206, 1)</f>
        <v>1</v>
      </c>
      <c r="K237" s="21">
        <f>Source!O206</f>
        <v>0</v>
      </c>
      <c r="Q237">
        <f>ROUND((Source!DN206/100)*ROUND((ROUND((Source!AF206*Source!AV206*Source!I206),2)),2), 2)</f>
        <v>0</v>
      </c>
      <c r="R237">
        <f>Source!X206</f>
        <v>0</v>
      </c>
      <c r="S237">
        <f>ROUND((Source!DO206/100)*ROUND((ROUND((Source!AF206*Source!AV206*Source!I206),2)),2), 2)</f>
        <v>0</v>
      </c>
      <c r="T237">
        <f>Source!Y206</f>
        <v>0</v>
      </c>
      <c r="U237">
        <f>ROUND((175/100)*ROUND((ROUND((Source!AE206*Source!AV206*Source!I206),2)),2), 2)</f>
        <v>0</v>
      </c>
      <c r="V237">
        <f>ROUND((157/100)*ROUND(ROUND((ROUND((Source!AE206*Source!AV206*Source!I206),2)*Source!BS206),2), 2), 2)</f>
        <v>0</v>
      </c>
      <c r="X237">
        <f>IF(Source!BI206&lt;=1,I237, 0)</f>
        <v>0</v>
      </c>
      <c r="Y237">
        <f>IF(Source!BI206=2,I237, 0)</f>
        <v>0</v>
      </c>
      <c r="Z237">
        <f>IF(Source!BI206=3,I237, 0)</f>
        <v>0</v>
      </c>
      <c r="AA237">
        <f>IF(Source!BI206=4,I237, 0)</f>
        <v>0</v>
      </c>
    </row>
    <row r="238" spans="1:30" ht="14.25" x14ac:dyDescent="0.2">
      <c r="A238" s="15"/>
      <c r="B238" s="16"/>
      <c r="C238" s="16" t="s">
        <v>482</v>
      </c>
      <c r="D238" s="18" t="s">
        <v>483</v>
      </c>
      <c r="E238" s="17">
        <f>Source!DN204</f>
        <v>133</v>
      </c>
      <c r="F238" s="20"/>
      <c r="G238" s="19"/>
      <c r="H238" s="17"/>
      <c r="I238" s="21">
        <f>SUM(Q231:Q237)</f>
        <v>946.16</v>
      </c>
      <c r="J238" s="17">
        <f>Source!BZ204</f>
        <v>106</v>
      </c>
      <c r="K238" s="21">
        <f>SUM(R231:R237)</f>
        <v>16160.02</v>
      </c>
    </row>
    <row r="239" spans="1:30" ht="14.25" x14ac:dyDescent="0.2">
      <c r="A239" s="15"/>
      <c r="B239" s="16"/>
      <c r="C239" s="16" t="s">
        <v>484</v>
      </c>
      <c r="D239" s="18" t="s">
        <v>483</v>
      </c>
      <c r="E239" s="17">
        <f>Source!DO204</f>
        <v>113</v>
      </c>
      <c r="F239" s="20"/>
      <c r="G239" s="19"/>
      <c r="H239" s="17"/>
      <c r="I239" s="21">
        <f>SUM(S231:S238)</f>
        <v>803.88</v>
      </c>
      <c r="J239" s="17">
        <f>Source!CA204</f>
        <v>53</v>
      </c>
      <c r="K239" s="21">
        <f>SUM(T231:T238)</f>
        <v>8080.01</v>
      </c>
    </row>
    <row r="240" spans="1:30" ht="14.25" x14ac:dyDescent="0.2">
      <c r="A240" s="15"/>
      <c r="B240" s="16"/>
      <c r="C240" s="16" t="s">
        <v>485</v>
      </c>
      <c r="D240" s="18" t="s">
        <v>483</v>
      </c>
      <c r="E240" s="17">
        <f>175</f>
        <v>175</v>
      </c>
      <c r="F240" s="20"/>
      <c r="G240" s="19"/>
      <c r="H240" s="17"/>
      <c r="I240" s="21">
        <f>SUM(U231:U239)</f>
        <v>691.29</v>
      </c>
      <c r="J240" s="17">
        <f>157</f>
        <v>157</v>
      </c>
      <c r="K240" s="21">
        <f>SUM(V231:V239)</f>
        <v>13290.49</v>
      </c>
    </row>
    <row r="241" spans="1:27" ht="14.25" x14ac:dyDescent="0.2">
      <c r="A241" s="15"/>
      <c r="B241" s="16"/>
      <c r="C241" s="16" t="s">
        <v>486</v>
      </c>
      <c r="D241" s="18" t="s">
        <v>487</v>
      </c>
      <c r="E241" s="17">
        <f>Source!AQ204</f>
        <v>812</v>
      </c>
      <c r="F241" s="20"/>
      <c r="G241" s="19" t="str">
        <f>Source!DI204</f>
        <v>*1,15*0,6</v>
      </c>
      <c r="H241" s="17">
        <f>Source!AV204</f>
        <v>1.0669999999999999</v>
      </c>
      <c r="I241" s="21">
        <f>Source!U204</f>
        <v>74.359229999999997</v>
      </c>
      <c r="J241" s="17"/>
      <c r="K241" s="21"/>
    </row>
    <row r="242" spans="1:27" ht="15" x14ac:dyDescent="0.25">
      <c r="A242" s="30"/>
      <c r="B242" s="30"/>
      <c r="C242" s="30"/>
      <c r="D242" s="30"/>
      <c r="E242" s="30"/>
      <c r="F242" s="30"/>
      <c r="G242" s="30"/>
      <c r="H242" s="74">
        <f>I233+I234+I238+I239+I240+SUM(I236:I237)</f>
        <v>5531.66</v>
      </c>
      <c r="I242" s="74"/>
      <c r="J242" s="74">
        <f>K233+K234+K238+K239+K240+SUM(K236:K237)</f>
        <v>75565.97</v>
      </c>
      <c r="K242" s="74"/>
      <c r="O242" s="28">
        <f>I233+I234+I238+I239+I240+SUM(I236:I237)</f>
        <v>5531.66</v>
      </c>
      <c r="P242" s="28">
        <f>K233+K234+K238+K239+K240+SUM(K236:K237)</f>
        <v>75565.97</v>
      </c>
      <c r="X242">
        <f>IF(Source!BI204&lt;=1,I233+I234+I238+I239+I240-0, 0)</f>
        <v>5531.66</v>
      </c>
      <c r="Y242">
        <f>IF(Source!BI204=2,I233+I234+I238+I239+I240-0, 0)</f>
        <v>0</v>
      </c>
      <c r="Z242">
        <f>IF(Source!BI204=3,I233+I234+I238+I239+I240-0, 0)</f>
        <v>0</v>
      </c>
      <c r="AA242">
        <f>IF(Source!BI204=4,I233+I234+I238+I239+I240,0)</f>
        <v>0</v>
      </c>
    </row>
    <row r="243" spans="1:27" ht="41.25" x14ac:dyDescent="0.2">
      <c r="A243" s="15" t="str">
        <f>Source!E207</f>
        <v>30</v>
      </c>
      <c r="B243" s="16" t="str">
        <f>Source!F207</f>
        <v>6.66-162-2</v>
      </c>
      <c r="C243" s="16" t="s">
        <v>500</v>
      </c>
      <c r="D243" s="18" t="str">
        <f>Source!H207</f>
        <v>100 м2</v>
      </c>
      <c r="E243" s="17">
        <f>Source!I207</f>
        <v>1.5857000000000001</v>
      </c>
      <c r="F243" s="20"/>
      <c r="G243" s="19"/>
      <c r="H243" s="17"/>
      <c r="I243" s="21"/>
      <c r="J243" s="17"/>
      <c r="K243" s="21"/>
      <c r="Q243">
        <f>ROUND((Source!DN207/100)*ROUND((ROUND((Source!AF207*Source!AV207*Source!I207),2)),2), 2)</f>
        <v>449.06</v>
      </c>
      <c r="R243">
        <f>Source!X207</f>
        <v>7798.22</v>
      </c>
      <c r="S243">
        <f>ROUND((Source!DO207/100)*ROUND((ROUND((Source!AF207*Source!AV207*Source!I207),2)),2), 2)</f>
        <v>263.24</v>
      </c>
      <c r="T243">
        <f>Source!Y207</f>
        <v>3401.35</v>
      </c>
      <c r="U243">
        <f>ROUND((175/100)*ROUND((ROUND((Source!AE207*Source!AV207*Source!I207),2)),2), 2)</f>
        <v>0</v>
      </c>
      <c r="V243">
        <f>ROUND((157/100)*ROUND(ROUND((ROUND((Source!AE207*Source!AV207*Source!I207),2)*Source!BS207),2), 2), 2)</f>
        <v>0</v>
      </c>
    </row>
    <row r="244" spans="1:27" x14ac:dyDescent="0.2">
      <c r="C244" s="31" t="str">
        <f>"Объем: "&amp;Source!I207&amp;"=158,57/"&amp;"100"</f>
        <v>Объем: 1,5857=158,57/100</v>
      </c>
    </row>
    <row r="245" spans="1:27" ht="14.25" x14ac:dyDescent="0.2">
      <c r="A245" s="15"/>
      <c r="B245" s="16"/>
      <c r="C245" s="16" t="s">
        <v>479</v>
      </c>
      <c r="D245" s="18"/>
      <c r="E245" s="17"/>
      <c r="F245" s="20">
        <f>Source!AO207</f>
        <v>208</v>
      </c>
      <c r="G245" s="19" t="str">
        <f>Source!DG207</f>
        <v>*1,1</v>
      </c>
      <c r="H245" s="17">
        <f>Source!AV207</f>
        <v>1.0669999999999999</v>
      </c>
      <c r="I245" s="21">
        <f>ROUND((ROUND((Source!AF207*Source!AV207*Source!I207),2)),2)</f>
        <v>387.12</v>
      </c>
      <c r="J245" s="17">
        <f>IF(Source!BA207&lt;&gt; 0, Source!BA207, 1)</f>
        <v>21.43</v>
      </c>
      <c r="K245" s="21">
        <f>Source!S207</f>
        <v>8295.98</v>
      </c>
      <c r="W245">
        <f>I245</f>
        <v>387.12</v>
      </c>
    </row>
    <row r="246" spans="1:27" ht="28.5" x14ac:dyDescent="0.2">
      <c r="A246" s="15" t="str">
        <f>Source!E208</f>
        <v>30,1</v>
      </c>
      <c r="B246" s="16" t="str">
        <f>Source!F208</f>
        <v>9999990001</v>
      </c>
      <c r="C246" s="16" t="s">
        <v>28</v>
      </c>
      <c r="D246" s="18" t="str">
        <f>Source!H208</f>
        <v>т</v>
      </c>
      <c r="E246" s="17">
        <f>Source!I208</f>
        <v>2.35</v>
      </c>
      <c r="F246" s="20">
        <f>Source!AK208</f>
        <v>0</v>
      </c>
      <c r="G246" s="22" t="s">
        <v>3</v>
      </c>
      <c r="H246" s="17">
        <f>Source!AW208</f>
        <v>1.0029999999999999</v>
      </c>
      <c r="I246" s="21">
        <f>ROUND((ROUND((Source!AC208*Source!AW208*Source!I208),2)),2)+(ROUND((ROUND(((Source!ET208)*Source!AV208*Source!I208),2)),2)+ROUND((ROUND(((Source!AE208-(Source!EU208))*Source!AV208*Source!I208),2)),2))+ROUND((ROUND((Source!AF208*Source!AV208*Source!I208),2)),2)</f>
        <v>0</v>
      </c>
      <c r="J246" s="17">
        <f>IF(Source!BC208&lt;&gt; 0, Source!BC208, 1)</f>
        <v>1</v>
      </c>
      <c r="K246" s="21">
        <f>Source!O208</f>
        <v>0</v>
      </c>
      <c r="Q246">
        <f>ROUND((Source!DN208/100)*ROUND((ROUND((Source!AF208*Source!AV208*Source!I208),2)),2), 2)</f>
        <v>0</v>
      </c>
      <c r="R246">
        <f>Source!X208</f>
        <v>0</v>
      </c>
      <c r="S246">
        <f>ROUND((Source!DO208/100)*ROUND((ROUND((Source!AF208*Source!AV208*Source!I208),2)),2), 2)</f>
        <v>0</v>
      </c>
      <c r="T246">
        <f>Source!Y208</f>
        <v>0</v>
      </c>
      <c r="U246">
        <f>ROUND((175/100)*ROUND((ROUND((Source!AE208*Source!AV208*Source!I208),2)),2), 2)</f>
        <v>0</v>
      </c>
      <c r="V246">
        <f>ROUND((157/100)*ROUND(ROUND((ROUND((Source!AE208*Source!AV208*Source!I208),2)*Source!BS208),2), 2), 2)</f>
        <v>0</v>
      </c>
      <c r="X246">
        <f>IF(Source!BI208&lt;=1,I246, 0)</f>
        <v>0</v>
      </c>
      <c r="Y246">
        <f>IF(Source!BI208=2,I246, 0)</f>
        <v>0</v>
      </c>
      <c r="Z246">
        <f>IF(Source!BI208=3,I246, 0)</f>
        <v>0</v>
      </c>
      <c r="AA246">
        <f>IF(Source!BI208=4,I246, 0)</f>
        <v>0</v>
      </c>
    </row>
    <row r="247" spans="1:27" ht="14.25" x14ac:dyDescent="0.2">
      <c r="A247" s="15"/>
      <c r="B247" s="16"/>
      <c r="C247" s="16" t="s">
        <v>482</v>
      </c>
      <c r="D247" s="18" t="s">
        <v>483</v>
      </c>
      <c r="E247" s="17">
        <f>Source!DN207</f>
        <v>116</v>
      </c>
      <c r="F247" s="20"/>
      <c r="G247" s="19"/>
      <c r="H247" s="17"/>
      <c r="I247" s="21">
        <f>SUM(Q243:Q246)</f>
        <v>449.06</v>
      </c>
      <c r="J247" s="17">
        <f>Source!BZ207</f>
        <v>94</v>
      </c>
      <c r="K247" s="21">
        <f>SUM(R243:R246)</f>
        <v>7798.22</v>
      </c>
    </row>
    <row r="248" spans="1:27" ht="14.25" x14ac:dyDescent="0.2">
      <c r="A248" s="15"/>
      <c r="B248" s="16"/>
      <c r="C248" s="16" t="s">
        <v>484</v>
      </c>
      <c r="D248" s="18" t="s">
        <v>483</v>
      </c>
      <c r="E248" s="17">
        <f>Source!DO207</f>
        <v>68</v>
      </c>
      <c r="F248" s="20"/>
      <c r="G248" s="19"/>
      <c r="H248" s="17"/>
      <c r="I248" s="21">
        <f>SUM(S243:S247)</f>
        <v>263.24</v>
      </c>
      <c r="J248" s="17">
        <f>Source!CA207</f>
        <v>41</v>
      </c>
      <c r="K248" s="21">
        <f>SUM(T243:T247)</f>
        <v>3401.35</v>
      </c>
    </row>
    <row r="249" spans="1:27" ht="14.25" x14ac:dyDescent="0.2">
      <c r="A249" s="15"/>
      <c r="B249" s="16"/>
      <c r="C249" s="16" t="s">
        <v>486</v>
      </c>
      <c r="D249" s="18" t="s">
        <v>487</v>
      </c>
      <c r="E249" s="17">
        <f>Source!AQ207</f>
        <v>19.100000000000001</v>
      </c>
      <c r="F249" s="20"/>
      <c r="G249" s="19" t="str">
        <f>Source!DI207</f>
        <v>*1,1</v>
      </c>
      <c r="H249" s="17">
        <f>Source!AV207</f>
        <v>1.0669999999999999</v>
      </c>
      <c r="I249" s="21">
        <f>Source!U207</f>
        <v>35.547699319000003</v>
      </c>
      <c r="J249" s="17"/>
      <c r="K249" s="21"/>
    </row>
    <row r="250" spans="1:27" ht="15" x14ac:dyDescent="0.25">
      <c r="A250" s="30"/>
      <c r="B250" s="30"/>
      <c r="C250" s="30"/>
      <c r="D250" s="30"/>
      <c r="E250" s="30"/>
      <c r="F250" s="30"/>
      <c r="G250" s="30"/>
      <c r="H250" s="74">
        <f>I245+I247+I248+SUM(I246:I246)</f>
        <v>1099.42</v>
      </c>
      <c r="I250" s="74"/>
      <c r="J250" s="74">
        <f>K245+K247+K248+SUM(K246:K246)</f>
        <v>19495.55</v>
      </c>
      <c r="K250" s="74"/>
      <c r="O250" s="28">
        <f>I245+I247+I248+SUM(I246:I246)</f>
        <v>1099.42</v>
      </c>
      <c r="P250" s="28">
        <f>K245+K247+K248+SUM(K246:K246)</f>
        <v>19495.55</v>
      </c>
      <c r="X250">
        <f>IF(Source!BI207&lt;=1,I245+I247+I248-0, 0)</f>
        <v>1099.42</v>
      </c>
      <c r="Y250">
        <f>IF(Source!BI207=2,I245+I247+I248-0, 0)</f>
        <v>0</v>
      </c>
      <c r="Z250">
        <f>IF(Source!BI207=3,I245+I247+I248-0, 0)</f>
        <v>0</v>
      </c>
      <c r="AA250">
        <f>IF(Source!BI207=4,I245+I247+I248,0)</f>
        <v>0</v>
      </c>
    </row>
    <row r="251" spans="1:27" ht="57" x14ac:dyDescent="0.2">
      <c r="A251" s="15" t="str">
        <f>Source!E209</f>
        <v>31</v>
      </c>
      <c r="B251" s="16" t="str">
        <f>Source!F209</f>
        <v>3.26-52-1</v>
      </c>
      <c r="C251" s="16" t="s">
        <v>237</v>
      </c>
      <c r="D251" s="18" t="str">
        <f>Source!H209</f>
        <v>1 м2 поверхности изоляции</v>
      </c>
      <c r="E251" s="17">
        <f>Source!I209</f>
        <v>158.57</v>
      </c>
      <c r="F251" s="20"/>
      <c r="G251" s="19"/>
      <c r="H251" s="17"/>
      <c r="I251" s="21"/>
      <c r="J251" s="17"/>
      <c r="K251" s="21"/>
      <c r="Q251">
        <f>ROUND((Source!DN209/100)*ROUND((ROUND((Source!AF209*Source!AV209*Source!I209),2)),2), 2)</f>
        <v>2918.88</v>
      </c>
      <c r="R251">
        <f>Source!X209</f>
        <v>50424.26</v>
      </c>
      <c r="S251">
        <f>ROUND((Source!DO209/100)*ROUND((ROUND((Source!AF209*Source!AV209*Source!I209),2)),2), 2)</f>
        <v>2174.27</v>
      </c>
      <c r="T251">
        <f>Source!Y209</f>
        <v>26169.55</v>
      </c>
      <c r="U251">
        <f>ROUND((175/100)*ROUND((ROUND((Source!AE209*Source!AV209*Source!I209),2)),2), 2)</f>
        <v>156.36000000000001</v>
      </c>
      <c r="V251">
        <f>ROUND((157/100)*ROUND(ROUND((ROUND((Source!AE209*Source!AV209*Source!I209),2)*Source!BS209),2), 2), 2)</f>
        <v>3006.19</v>
      </c>
    </row>
    <row r="252" spans="1:27" x14ac:dyDescent="0.2">
      <c r="C252" s="31" t="str">
        <f>"Объем: "&amp;Source!I209&amp;"="&amp;Source!I207&amp;"*"&amp;"100"</f>
        <v>Объем: 158,57=1,5857*100</v>
      </c>
    </row>
    <row r="253" spans="1:27" ht="14.25" x14ac:dyDescent="0.2">
      <c r="A253" s="15"/>
      <c r="B253" s="16"/>
      <c r="C253" s="16" t="s">
        <v>479</v>
      </c>
      <c r="D253" s="18"/>
      <c r="E253" s="17"/>
      <c r="F253" s="20">
        <f>Source!AO209</f>
        <v>26</v>
      </c>
      <c r="G253" s="19" t="str">
        <f>Source!DG209</f>
        <v>*1,15*0,6</v>
      </c>
      <c r="H253" s="17">
        <f>Source!AV209</f>
        <v>1.0469999999999999</v>
      </c>
      <c r="I253" s="21">
        <f>ROUND((ROUND((Source!AF209*Source!AV209*Source!I209),2)),2)</f>
        <v>2978.45</v>
      </c>
      <c r="J253" s="17">
        <f>IF(Source!BA209&lt;&gt; 0, Source!BA209, 1)</f>
        <v>21.43</v>
      </c>
      <c r="K253" s="21">
        <f>Source!S209</f>
        <v>63828.18</v>
      </c>
      <c r="W253">
        <f>I253</f>
        <v>2978.45</v>
      </c>
    </row>
    <row r="254" spans="1:27" ht="14.25" x14ac:dyDescent="0.2">
      <c r="A254" s="15"/>
      <c r="B254" s="16"/>
      <c r="C254" s="16" t="s">
        <v>480</v>
      </c>
      <c r="D254" s="18"/>
      <c r="E254" s="17"/>
      <c r="F254" s="20">
        <f>Source!AM209</f>
        <v>3.97</v>
      </c>
      <c r="G254" s="19" t="str">
        <f>Source!DE209</f>
        <v>*1,15*0,6</v>
      </c>
      <c r="H254" s="17">
        <f>Source!AV209</f>
        <v>1.0469999999999999</v>
      </c>
      <c r="I254" s="21">
        <f>(ROUND((ROUND((((Source!ET209*1.15*0.6))*Source!AV209*Source!I209),2)),2)+ROUND((ROUND(((Source!AE209-((Source!EU209*1.15*0.6)))*Source!AV209*Source!I209),2)),2))</f>
        <v>454.79</v>
      </c>
      <c r="J254" s="17">
        <f>IF(Source!BB209&lt;&gt; 0, Source!BB209, 1)</f>
        <v>8.44</v>
      </c>
      <c r="K254" s="21">
        <f>Source!Q209</f>
        <v>3838.43</v>
      </c>
    </row>
    <row r="255" spans="1:27" ht="14.25" x14ac:dyDescent="0.2">
      <c r="A255" s="15"/>
      <c r="B255" s="16"/>
      <c r="C255" s="16" t="s">
        <v>481</v>
      </c>
      <c r="D255" s="18"/>
      <c r="E255" s="17"/>
      <c r="F255" s="20">
        <f>Source!AN209</f>
        <v>0.78</v>
      </c>
      <c r="G255" s="19" t="str">
        <f>Source!DF209</f>
        <v>*1,15*0,6</v>
      </c>
      <c r="H255" s="17">
        <f>Source!AV209</f>
        <v>1.0469999999999999</v>
      </c>
      <c r="I255" s="27">
        <f>ROUND((ROUND((Source!AE209*Source!AV209*Source!I209),2)),2)</f>
        <v>89.35</v>
      </c>
      <c r="J255" s="17">
        <f>IF(Source!BS209&lt;&gt; 0, Source!BS209, 1)</f>
        <v>21.43</v>
      </c>
      <c r="K255" s="27">
        <f>Source!R209</f>
        <v>1914.77</v>
      </c>
      <c r="W255">
        <f>I255</f>
        <v>89.35</v>
      </c>
    </row>
    <row r="256" spans="1:27" ht="14.25" x14ac:dyDescent="0.2">
      <c r="A256" s="15" t="str">
        <f>Source!E210</f>
        <v>31,1</v>
      </c>
      <c r="B256" s="16" t="str">
        <f>Source!F210</f>
        <v/>
      </c>
      <c r="C256" s="16" t="s">
        <v>222</v>
      </c>
      <c r="D256" s="18" t="str">
        <f>Source!H210</f>
        <v>т</v>
      </c>
      <c r="E256" s="17">
        <f>Source!I210</f>
        <v>1.244775</v>
      </c>
      <c r="F256" s="20">
        <f>Source!AK210</f>
        <v>0</v>
      </c>
      <c r="G256" s="22" t="s">
        <v>3</v>
      </c>
      <c r="H256" s="17">
        <f>Source!AW210</f>
        <v>1.0189999999999999</v>
      </c>
      <c r="I256" s="21">
        <f>ROUND((ROUND((Source!AC210*Source!AW210*Source!I210),2)),2)+(ROUND((ROUND(((Source!ET210)*Source!AV210*Source!I210),2)),2)+ROUND((ROUND(((Source!AE210-(Source!EU210))*Source!AV210*Source!I210),2)),2))+ROUND((ROUND((Source!AF210*Source!AV210*Source!I210),2)),2)</f>
        <v>0</v>
      </c>
      <c r="J256" s="17">
        <f>IF(Source!BC210&lt;&gt; 0, Source!BC210, 1)</f>
        <v>1</v>
      </c>
      <c r="K256" s="21">
        <f>Source!O210</f>
        <v>0</v>
      </c>
      <c r="Q256">
        <f>ROUND((Source!DN210/100)*ROUND((ROUND((Source!AF210*Source!AV210*Source!I210),2)),2), 2)</f>
        <v>0</v>
      </c>
      <c r="R256">
        <f>Source!X210</f>
        <v>0</v>
      </c>
      <c r="S256">
        <f>ROUND((Source!DO210/100)*ROUND((ROUND((Source!AF210*Source!AV210*Source!I210),2)),2), 2)</f>
        <v>0</v>
      </c>
      <c r="T256">
        <f>Source!Y210</f>
        <v>0</v>
      </c>
      <c r="U256">
        <f>ROUND((175/100)*ROUND((ROUND((Source!AE210*Source!AV210*Source!I210),2)),2), 2)</f>
        <v>0</v>
      </c>
      <c r="V256">
        <f>ROUND((157/100)*ROUND(ROUND((ROUND((Source!AE210*Source!AV210*Source!I210),2)*Source!BS210),2), 2), 2)</f>
        <v>0</v>
      </c>
      <c r="X256">
        <f>IF(Source!BI210&lt;=1,I256, 0)</f>
        <v>0</v>
      </c>
      <c r="Y256">
        <f>IF(Source!BI210=2,I256, 0)</f>
        <v>0</v>
      </c>
      <c r="Z256">
        <f>IF(Source!BI210=3,I256, 0)</f>
        <v>0</v>
      </c>
      <c r="AA256">
        <f>IF(Source!BI210=4,I256, 0)</f>
        <v>0</v>
      </c>
    </row>
    <row r="257" spans="1:27" ht="14.25" x14ac:dyDescent="0.2">
      <c r="A257" s="15"/>
      <c r="B257" s="16"/>
      <c r="C257" s="16" t="s">
        <v>482</v>
      </c>
      <c r="D257" s="18" t="s">
        <v>483</v>
      </c>
      <c r="E257" s="17">
        <f>Source!DN209</f>
        <v>98</v>
      </c>
      <c r="F257" s="20"/>
      <c r="G257" s="19"/>
      <c r="H257" s="17"/>
      <c r="I257" s="21">
        <f>SUM(Q251:Q256)</f>
        <v>2918.88</v>
      </c>
      <c r="J257" s="17">
        <f>Source!BZ209</f>
        <v>79</v>
      </c>
      <c r="K257" s="21">
        <f>SUM(R251:R256)</f>
        <v>50424.26</v>
      </c>
    </row>
    <row r="258" spans="1:27" ht="14.25" x14ac:dyDescent="0.2">
      <c r="A258" s="15"/>
      <c r="B258" s="16"/>
      <c r="C258" s="16" t="s">
        <v>484</v>
      </c>
      <c r="D258" s="18" t="s">
        <v>483</v>
      </c>
      <c r="E258" s="17">
        <f>Source!DO209</f>
        <v>73</v>
      </c>
      <c r="F258" s="20"/>
      <c r="G258" s="19"/>
      <c r="H258" s="17"/>
      <c r="I258" s="21">
        <f>SUM(S251:S257)</f>
        <v>2174.27</v>
      </c>
      <c r="J258" s="17">
        <f>Source!CA209</f>
        <v>41</v>
      </c>
      <c r="K258" s="21">
        <f>SUM(T251:T257)</f>
        <v>26169.55</v>
      </c>
    </row>
    <row r="259" spans="1:27" ht="14.25" x14ac:dyDescent="0.2">
      <c r="A259" s="15"/>
      <c r="B259" s="16"/>
      <c r="C259" s="16" t="s">
        <v>485</v>
      </c>
      <c r="D259" s="18" t="s">
        <v>483</v>
      </c>
      <c r="E259" s="17">
        <f>175</f>
        <v>175</v>
      </c>
      <c r="F259" s="20"/>
      <c r="G259" s="19"/>
      <c r="H259" s="17"/>
      <c r="I259" s="21">
        <f>SUM(U251:U258)</f>
        <v>156.36000000000001</v>
      </c>
      <c r="J259" s="17">
        <f>157</f>
        <v>157</v>
      </c>
      <c r="K259" s="21">
        <f>SUM(V251:V258)</f>
        <v>3006.19</v>
      </c>
    </row>
    <row r="260" spans="1:27" ht="14.25" x14ac:dyDescent="0.2">
      <c r="A260" s="15"/>
      <c r="B260" s="16"/>
      <c r="C260" s="16" t="s">
        <v>486</v>
      </c>
      <c r="D260" s="18" t="s">
        <v>487</v>
      </c>
      <c r="E260" s="17">
        <f>Source!AQ209</f>
        <v>2</v>
      </c>
      <c r="F260" s="20"/>
      <c r="G260" s="19" t="str">
        <f>Source!DI209</f>
        <v>*1,15*0,6</v>
      </c>
      <c r="H260" s="17">
        <f>Source!AV209</f>
        <v>1.0469999999999999</v>
      </c>
      <c r="I260" s="21">
        <f>Source!U209</f>
        <v>229.11145019999995</v>
      </c>
      <c r="J260" s="17"/>
      <c r="K260" s="21"/>
    </row>
    <row r="261" spans="1:27" ht="15" x14ac:dyDescent="0.25">
      <c r="A261" s="30"/>
      <c r="B261" s="30"/>
      <c r="C261" s="30"/>
      <c r="D261" s="30"/>
      <c r="E261" s="30"/>
      <c r="F261" s="30"/>
      <c r="G261" s="30"/>
      <c r="H261" s="74">
        <f>I253+I254+I257+I258+I259+SUM(I256:I256)</f>
        <v>8682.75</v>
      </c>
      <c r="I261" s="74"/>
      <c r="J261" s="74">
        <f>K253+K254+K257+K258+K259+SUM(K256:K256)</f>
        <v>147266.60999999999</v>
      </c>
      <c r="K261" s="74"/>
      <c r="O261" s="28">
        <f>I253+I254+I257+I258+I259+SUM(I256:I256)</f>
        <v>8682.75</v>
      </c>
      <c r="P261" s="28">
        <f>K253+K254+K257+K258+K259+SUM(K256:K256)</f>
        <v>147266.60999999999</v>
      </c>
      <c r="X261">
        <f>IF(Source!BI209&lt;=1,I253+I254+I257+I258+I259-0, 0)</f>
        <v>8682.75</v>
      </c>
      <c r="Y261">
        <f>IF(Source!BI209=2,I253+I254+I257+I258+I259-0, 0)</f>
        <v>0</v>
      </c>
      <c r="Z261">
        <f>IF(Source!BI209=3,I253+I254+I257+I258+I259-0, 0)</f>
        <v>0</v>
      </c>
      <c r="AA261">
        <f>IF(Source!BI209=4,I253+I254+I257+I258+I259,0)</f>
        <v>0</v>
      </c>
    </row>
    <row r="262" spans="1:27" ht="28.5" x14ac:dyDescent="0.2">
      <c r="A262" s="15" t="str">
        <f>Source!E211</f>
        <v>32</v>
      </c>
      <c r="B262" s="16" t="str">
        <f>Source!F211</f>
        <v>6.68-13-1</v>
      </c>
      <c r="C262" s="16" t="s">
        <v>245</v>
      </c>
      <c r="D262" s="18" t="str">
        <f>Source!H211</f>
        <v>1 Т</v>
      </c>
      <c r="E262" s="17">
        <f>Source!I211</f>
        <v>9.9817999999999998</v>
      </c>
      <c r="F262" s="20"/>
      <c r="G262" s="19"/>
      <c r="H262" s="17"/>
      <c r="I262" s="21"/>
      <c r="J262" s="17"/>
      <c r="K262" s="21"/>
      <c r="Q262">
        <f>ROUND((Source!DN211/100)*ROUND((ROUND((Source!AF211*Source!AV211*Source!I211),2)),2), 2)</f>
        <v>0</v>
      </c>
      <c r="R262">
        <f>Source!X211</f>
        <v>0</v>
      </c>
      <c r="S262">
        <f>ROUND((Source!DO211/100)*ROUND((ROUND((Source!AF211*Source!AV211*Source!I211),2)),2), 2)</f>
        <v>0</v>
      </c>
      <c r="T262">
        <f>Source!Y211</f>
        <v>0</v>
      </c>
      <c r="U262">
        <f>ROUND((175/100)*ROUND((ROUND((Source!AE211*Source!AV211*Source!I211),2)),2), 2)</f>
        <v>29.77</v>
      </c>
      <c r="V262">
        <f>ROUND((157/100)*ROUND(ROUND((ROUND((Source!AE211*Source!AV211*Source!I211),2)*Source!BS211),2), 2), 2)</f>
        <v>572.29999999999995</v>
      </c>
    </row>
    <row r="263" spans="1:27" x14ac:dyDescent="0.2">
      <c r="C263" s="31" t="str">
        <f>"Объем: "&amp;Source!I211&amp;"="&amp;Source!I205&amp;"+"&amp;""&amp;Source!I206&amp;"+"&amp;""&amp;Source!I208&amp;"+"&amp;""&amp;Source!I210&amp;""</f>
        <v>Объем: 9,9818=0,514+5,873+2,35+1,244775</v>
      </c>
    </row>
    <row r="264" spans="1:27" ht="14.25" x14ac:dyDescent="0.2">
      <c r="A264" s="15"/>
      <c r="B264" s="16"/>
      <c r="C264" s="16" t="s">
        <v>480</v>
      </c>
      <c r="D264" s="18"/>
      <c r="E264" s="17"/>
      <c r="F264" s="20">
        <f>Source!AM211</f>
        <v>8.86</v>
      </c>
      <c r="G264" s="19" t="str">
        <f>Source!DE211</f>
        <v>*1,1</v>
      </c>
      <c r="H264" s="17">
        <f>Source!AV211</f>
        <v>1.0469999999999999</v>
      </c>
      <c r="I264" s="21">
        <f>(ROUND((ROUND((((Source!ET211*1.1))*Source!AV211*Source!I211),2)),2)+ROUND((ROUND(((Source!AE211-((Source!EU211*1.1)))*Source!AV211*Source!I211),2)),2))</f>
        <v>101.85</v>
      </c>
      <c r="J264" s="17">
        <f>IF(Source!BB211&lt;&gt; 0, Source!BB211, 1)</f>
        <v>7.96</v>
      </c>
      <c r="K264" s="21">
        <f>Source!Q211</f>
        <v>810.73</v>
      </c>
    </row>
    <row r="265" spans="1:27" ht="14.25" x14ac:dyDescent="0.2">
      <c r="A265" s="15"/>
      <c r="B265" s="16"/>
      <c r="C265" s="16" t="s">
        <v>481</v>
      </c>
      <c r="D265" s="18"/>
      <c r="E265" s="17"/>
      <c r="F265" s="20">
        <f>Source!AN211</f>
        <v>1.48</v>
      </c>
      <c r="G265" s="19" t="str">
        <f>Source!DF211</f>
        <v>*1,1</v>
      </c>
      <c r="H265" s="17">
        <f>Source!AV211</f>
        <v>1.0469999999999999</v>
      </c>
      <c r="I265" s="27">
        <f>ROUND((ROUND((Source!AE211*Source!AV211*Source!I211),2)),2)</f>
        <v>17.010000000000002</v>
      </c>
      <c r="J265" s="17">
        <f>IF(Source!BS211&lt;&gt; 0, Source!BS211, 1)</f>
        <v>21.43</v>
      </c>
      <c r="K265" s="27">
        <f>Source!R211</f>
        <v>364.52</v>
      </c>
      <c r="W265">
        <f>I265</f>
        <v>17.010000000000002</v>
      </c>
    </row>
    <row r="266" spans="1:27" ht="14.25" x14ac:dyDescent="0.2">
      <c r="A266" s="15"/>
      <c r="B266" s="16"/>
      <c r="C266" s="16" t="s">
        <v>485</v>
      </c>
      <c r="D266" s="18" t="s">
        <v>483</v>
      </c>
      <c r="E266" s="17">
        <f>175</f>
        <v>175</v>
      </c>
      <c r="F266" s="20"/>
      <c r="G266" s="19"/>
      <c r="H266" s="17"/>
      <c r="I266" s="21">
        <f>SUM(U262:U265)</f>
        <v>29.77</v>
      </c>
      <c r="J266" s="17">
        <f>157</f>
        <v>157</v>
      </c>
      <c r="K266" s="21">
        <f>SUM(V262:V265)</f>
        <v>572.29999999999995</v>
      </c>
    </row>
    <row r="267" spans="1:27" ht="15" x14ac:dyDescent="0.25">
      <c r="A267" s="30"/>
      <c r="B267" s="30"/>
      <c r="C267" s="30"/>
      <c r="D267" s="30"/>
      <c r="E267" s="30"/>
      <c r="F267" s="30"/>
      <c r="G267" s="30"/>
      <c r="H267" s="74">
        <f>I264+I266</f>
        <v>131.62</v>
      </c>
      <c r="I267" s="74"/>
      <c r="J267" s="74">
        <f>K264+K266</f>
        <v>1383.03</v>
      </c>
      <c r="K267" s="74"/>
      <c r="O267" s="28">
        <f>I264+I266</f>
        <v>131.62</v>
      </c>
      <c r="P267" s="28">
        <f>K264+K266</f>
        <v>1383.03</v>
      </c>
      <c r="X267">
        <f>IF(Source!BI211&lt;=1,I264+I266-0, 0)</f>
        <v>131.62</v>
      </c>
      <c r="Y267">
        <f>IF(Source!BI211=2,I264+I266-0, 0)</f>
        <v>0</v>
      </c>
      <c r="Z267">
        <f>IF(Source!BI211=3,I264+I266-0, 0)</f>
        <v>0</v>
      </c>
      <c r="AA267">
        <f>IF(Source!BI211=4,I264+I266,0)</f>
        <v>0</v>
      </c>
    </row>
    <row r="268" spans="1:27" ht="42.75" x14ac:dyDescent="0.2">
      <c r="A268" s="15" t="str">
        <f>Source!E212</f>
        <v>33</v>
      </c>
      <c r="B268" s="16" t="str">
        <f>Source!F212</f>
        <v>15.1-26-11</v>
      </c>
      <c r="C268" s="16" t="s">
        <v>64</v>
      </c>
      <c r="D268" s="18" t="str">
        <f>Source!H212</f>
        <v>1 Т</v>
      </c>
      <c r="E268" s="17">
        <f>Source!I212</f>
        <v>9.9819999999999993</v>
      </c>
      <c r="F268" s="20"/>
      <c r="G268" s="19"/>
      <c r="H268" s="17"/>
      <c r="I268" s="21"/>
      <c r="J268" s="17"/>
      <c r="K268" s="21"/>
      <c r="Q268">
        <f>ROUND((Source!DN212/100)*ROUND((ROUND((Source!AF212*Source!AV212*Source!I212),2)),2), 2)</f>
        <v>0</v>
      </c>
      <c r="R268">
        <f>Source!X212</f>
        <v>0</v>
      </c>
      <c r="S268">
        <f>ROUND((Source!DO212/100)*ROUND((ROUND((Source!AF212*Source!AV212*Source!I212),2)),2), 2)</f>
        <v>0</v>
      </c>
      <c r="T268">
        <f>Source!Y212</f>
        <v>0</v>
      </c>
      <c r="U268">
        <f>ROUND((175/100)*ROUND((ROUND((Source!AE212*Source!AV212*Source!I212),2)),2), 2)</f>
        <v>0</v>
      </c>
      <c r="V268">
        <f>ROUND((157/100)*ROUND(ROUND((ROUND((Source!AE212*Source!AV212*Source!I212),2)*Source!BS212),2), 2), 2)</f>
        <v>0</v>
      </c>
    </row>
    <row r="269" spans="1:27" ht="14.25" x14ac:dyDescent="0.2">
      <c r="A269" s="15"/>
      <c r="B269" s="16"/>
      <c r="C269" s="16" t="s">
        <v>480</v>
      </c>
      <c r="D269" s="18"/>
      <c r="E269" s="17"/>
      <c r="F269" s="20">
        <f>Source!AM212</f>
        <v>27.91</v>
      </c>
      <c r="G269" s="19" t="str">
        <f>Source!DE212</f>
        <v/>
      </c>
      <c r="H269" s="17">
        <f>Source!AV212</f>
        <v>1</v>
      </c>
      <c r="I269" s="21">
        <f>(ROUND((ROUND(((Source!ET212+(SUM(SmtRes!BD85:'SmtRes'!BD85)+SUM(EtalonRes!AM84:'EtalonRes'!AM84)))*Source!AV212*Source!I212),2)),2)+ROUND((ROUND(((Source!AE212-(Source!EU212))*Source!AV212*Source!I212),2)),2))</f>
        <v>305.95</v>
      </c>
      <c r="J269" s="17">
        <f>IF(Source!BB212&lt;&gt; 0, Source!BB212, 1)</f>
        <v>8.66</v>
      </c>
      <c r="K269" s="21">
        <f>Source!Q212</f>
        <v>2649.53</v>
      </c>
    </row>
    <row r="270" spans="1:27" ht="15" x14ac:dyDescent="0.25">
      <c r="A270" s="30"/>
      <c r="B270" s="30"/>
      <c r="C270" s="30"/>
      <c r="D270" s="30"/>
      <c r="E270" s="30"/>
      <c r="F270" s="30"/>
      <c r="G270" s="30"/>
      <c r="H270" s="74">
        <f>I269</f>
        <v>305.95</v>
      </c>
      <c r="I270" s="74"/>
      <c r="J270" s="74">
        <f>K269</f>
        <v>2649.53</v>
      </c>
      <c r="K270" s="74"/>
      <c r="O270" s="28">
        <f>I269</f>
        <v>305.95</v>
      </c>
      <c r="P270" s="28">
        <f>K269</f>
        <v>2649.53</v>
      </c>
      <c r="X270">
        <f>IF(Source!BI212&lt;=1,I269-0, 0)</f>
        <v>0</v>
      </c>
      <c r="Y270">
        <f>IF(Source!BI212=2,I269-0, 0)</f>
        <v>0</v>
      </c>
      <c r="Z270">
        <f>IF(Source!BI212=3,I269-0, 0)</f>
        <v>0</v>
      </c>
      <c r="AA270">
        <f>IF(Source!BI212=4,I269,0)</f>
        <v>305.95</v>
      </c>
    </row>
    <row r="271" spans="1:27" ht="14.25" x14ac:dyDescent="0.2">
      <c r="A271" s="15" t="str">
        <f>Source!E213</f>
        <v>34</v>
      </c>
      <c r="B271" s="16" t="str">
        <f>Source!F213</f>
        <v>15.1-0-1</v>
      </c>
      <c r="C271" s="16" t="s">
        <v>70</v>
      </c>
      <c r="D271" s="18" t="str">
        <f>Source!H213</f>
        <v>1 Т</v>
      </c>
      <c r="E271" s="17">
        <f>Source!I213</f>
        <v>2.35</v>
      </c>
      <c r="F271" s="20"/>
      <c r="G271" s="19"/>
      <c r="H271" s="17"/>
      <c r="I271" s="21"/>
      <c r="J271" s="17"/>
      <c r="K271" s="21"/>
      <c r="Q271">
        <f>ROUND((Source!DN213/100)*ROUND((ROUND((Source!AF213*Source!AV213*Source!I213),2)),2), 2)</f>
        <v>0</v>
      </c>
      <c r="R271">
        <f>Source!X213</f>
        <v>0</v>
      </c>
      <c r="S271">
        <f>ROUND((Source!DO213/100)*ROUND((ROUND((Source!AF213*Source!AV213*Source!I213),2)),2), 2)</f>
        <v>0</v>
      </c>
      <c r="T271">
        <f>Source!Y213</f>
        <v>0</v>
      </c>
      <c r="U271">
        <f>ROUND((175/100)*ROUND((ROUND((Source!AE213*Source!AV213*Source!I213),2)),2), 2)</f>
        <v>0</v>
      </c>
      <c r="V271">
        <f>ROUND((157/100)*ROUND(ROUND((ROUND((Source!AE213*Source!AV213*Source!I213),2)*Source!BS213),2), 2), 2)</f>
        <v>0</v>
      </c>
    </row>
    <row r="272" spans="1:27" ht="14.25" x14ac:dyDescent="0.2">
      <c r="A272" s="15"/>
      <c r="B272" s="16"/>
      <c r="C272" s="16" t="s">
        <v>480</v>
      </c>
      <c r="D272" s="18"/>
      <c r="E272" s="17"/>
      <c r="F272" s="20">
        <f>Source!AM213</f>
        <v>101</v>
      </c>
      <c r="G272" s="19" t="str">
        <f>Source!DE213</f>
        <v/>
      </c>
      <c r="H272" s="17">
        <f>Source!AV213</f>
        <v>1</v>
      </c>
      <c r="I272" s="21">
        <f>(ROUND((ROUND(((Source!ET213)*Source!AV213*Source!I213),2)),2)+ROUND((ROUND(((Source!AE213-(Source!EU213))*Source!AV213*Source!I213),2)),2))</f>
        <v>237.35</v>
      </c>
      <c r="J272" s="17">
        <f>IF(Source!BB213&lt;&gt; 0, Source!BB213, 1)</f>
        <v>2.14</v>
      </c>
      <c r="K272" s="21">
        <f>Source!Q213</f>
        <v>507.93</v>
      </c>
    </row>
    <row r="273" spans="1:27" ht="15" x14ac:dyDescent="0.25">
      <c r="A273" s="30"/>
      <c r="B273" s="30"/>
      <c r="C273" s="30"/>
      <c r="D273" s="30"/>
      <c r="E273" s="30"/>
      <c r="F273" s="30"/>
      <c r="G273" s="30"/>
      <c r="H273" s="74">
        <f>I272</f>
        <v>237.35</v>
      </c>
      <c r="I273" s="74"/>
      <c r="J273" s="74">
        <f>K272</f>
        <v>507.93</v>
      </c>
      <c r="K273" s="74"/>
      <c r="O273" s="28">
        <f>I272</f>
        <v>237.35</v>
      </c>
      <c r="P273" s="28">
        <f>K272</f>
        <v>507.93</v>
      </c>
      <c r="X273">
        <f>IF(Source!BI213&lt;=1,I272-0, 0)</f>
        <v>0</v>
      </c>
      <c r="Y273">
        <f>IF(Source!BI213=2,I272-0, 0)</f>
        <v>0</v>
      </c>
      <c r="Z273">
        <f>IF(Source!BI213=3,I272-0, 0)</f>
        <v>0</v>
      </c>
      <c r="AA273">
        <f>IF(Source!BI213=4,I272,0)</f>
        <v>237.35</v>
      </c>
    </row>
    <row r="275" spans="1:27" ht="15" x14ac:dyDescent="0.25">
      <c r="A275" s="76" t="str">
        <f>CONCATENATE("Итого по разделу: ",IF(Source!G215&lt;&gt;"Новый раздел", Source!G215, ""))</f>
        <v>Итого по разделу: БАЙПАС 2Ду300мм -50м</v>
      </c>
      <c r="B275" s="76"/>
      <c r="C275" s="76"/>
      <c r="D275" s="76"/>
      <c r="E275" s="76"/>
      <c r="F275" s="76"/>
      <c r="G275" s="76"/>
      <c r="H275" s="61">
        <f>SUM(O224:O274)</f>
        <v>155243.75000000003</v>
      </c>
      <c r="I275" s="75"/>
      <c r="J275" s="61">
        <f>SUM(P224:P274)</f>
        <v>1364291.5199999998</v>
      </c>
      <c r="K275" s="75"/>
    </row>
    <row r="276" spans="1:27" ht="15" x14ac:dyDescent="0.25">
      <c r="A276" s="76" t="s">
        <v>488</v>
      </c>
      <c r="B276" s="76"/>
      <c r="C276" s="76"/>
      <c r="D276" s="76"/>
      <c r="E276" s="76"/>
      <c r="F276" s="76"/>
      <c r="G276" s="76"/>
      <c r="H276" s="61">
        <f>SUM(AC224:AC275)</f>
        <v>139255</v>
      </c>
      <c r="I276" s="75"/>
      <c r="J276" s="61">
        <f>SUM(AD224:AD275)</f>
        <v>1117422.8999999999</v>
      </c>
      <c r="K276" s="75"/>
    </row>
    <row r="277" spans="1:27" hidden="1" x14ac:dyDescent="0.2">
      <c r="A277" t="s">
        <v>489</v>
      </c>
      <c r="I277">
        <f>SUM(AE224:AE276)</f>
        <v>0</v>
      </c>
      <c r="J277">
        <f>SUM(AF224:AF276)</f>
        <v>0</v>
      </c>
    </row>
    <row r="279" spans="1:27" ht="16.5" x14ac:dyDescent="0.25">
      <c r="A279" s="73" t="str">
        <f>CONCATENATE("Раздел: ",IF(Source!G244&lt;&gt;"Новый раздел", Source!G244, ""))</f>
        <v>Раздел: КАМЕРА БАЙПАСА 3,2*3,2*2,0  - 2шт</v>
      </c>
      <c r="B279" s="73"/>
      <c r="C279" s="73"/>
      <c r="D279" s="73"/>
      <c r="E279" s="73"/>
      <c r="F279" s="73"/>
      <c r="G279" s="73"/>
      <c r="H279" s="73"/>
      <c r="I279" s="73"/>
      <c r="J279" s="73"/>
      <c r="K279" s="73"/>
    </row>
    <row r="280" spans="1:27" ht="55.5" x14ac:dyDescent="0.2">
      <c r="A280" s="15" t="str">
        <f>Source!E248</f>
        <v>35</v>
      </c>
      <c r="B280" s="16" t="str">
        <f>Source!F248</f>
        <v>16.1-2601-2</v>
      </c>
      <c r="C280" s="16" t="s">
        <v>501</v>
      </c>
      <c r="D280" s="18" t="str">
        <f>Source!H248</f>
        <v>1 КАМЕРА</v>
      </c>
      <c r="E280" s="17">
        <f>Source!I248</f>
        <v>2</v>
      </c>
      <c r="F280" s="20"/>
      <c r="G280" s="19"/>
      <c r="H280" s="17"/>
      <c r="I280" s="21"/>
      <c r="J280" s="17"/>
      <c r="K280" s="21"/>
      <c r="Q280">
        <f>ROUND((Source!DN248/100)*ROUND((ROUND((Source!AF248*Source!AV248*Source!I248),2)),2), 2)</f>
        <v>0</v>
      </c>
      <c r="R280">
        <f>Source!X248</f>
        <v>0</v>
      </c>
      <c r="S280">
        <f>ROUND((Source!DO248/100)*ROUND((ROUND((Source!AF248*Source!AV248*Source!I248),2)),2), 2)</f>
        <v>0</v>
      </c>
      <c r="T280">
        <f>Source!Y248</f>
        <v>0</v>
      </c>
      <c r="U280">
        <f>ROUND((175/100)*ROUND((ROUND((Source!AE248*Source!AV248*Source!I248),2)),2), 2)</f>
        <v>0</v>
      </c>
      <c r="V280">
        <f>ROUND((157/100)*ROUND(ROUND((ROUND((Source!AE248*Source!AV248*Source!I248),2)*Source!BS248),2), 2), 2)</f>
        <v>0</v>
      </c>
    </row>
    <row r="281" spans="1:27" ht="14.25" x14ac:dyDescent="0.2">
      <c r="A281" s="15"/>
      <c r="B281" s="16"/>
      <c r="C281" s="16" t="s">
        <v>471</v>
      </c>
      <c r="D281" s="18"/>
      <c r="E281" s="17"/>
      <c r="F281" s="20"/>
      <c r="G281" s="19"/>
      <c r="H281" s="17"/>
      <c r="I281" s="21">
        <f>I282+I283+I284+I285+SUM(I286:I287)</f>
        <v>65680.509999999995</v>
      </c>
      <c r="J281" s="17"/>
      <c r="K281" s="21">
        <f>K282+K283+K284+K285+SUM(K286:K287)</f>
        <v>551251.93999999994</v>
      </c>
    </row>
    <row r="282" spans="1:27" ht="14.25" x14ac:dyDescent="0.2">
      <c r="A282" s="15"/>
      <c r="B282" s="16"/>
      <c r="C282" s="16" t="s">
        <v>472</v>
      </c>
      <c r="D282" s="18"/>
      <c r="E282" s="17"/>
      <c r="F282" s="20">
        <f>Source!AO248</f>
        <v>5941</v>
      </c>
      <c r="G282" s="19" t="str">
        <f>Source!DG248</f>
        <v>*1,15*0,701</v>
      </c>
      <c r="H282" s="17">
        <f>Source!AV248</f>
        <v>1</v>
      </c>
      <c r="I282" s="21">
        <f>ROUND((ROUND((Source!AF248*Source!AV248*Source!I248),2)),2)</f>
        <v>9578.67</v>
      </c>
      <c r="J282" s="17">
        <f>IF(Source!BA248&lt;&gt; 0, Source!BA248, 1)</f>
        <v>19.079999999999998</v>
      </c>
      <c r="K282" s="21">
        <f>Source!GZ248</f>
        <v>182761.02</v>
      </c>
    </row>
    <row r="283" spans="1:27" ht="14.25" x14ac:dyDescent="0.2">
      <c r="A283" s="15"/>
      <c r="B283" s="16"/>
      <c r="C283" s="16" t="s">
        <v>473</v>
      </c>
      <c r="D283" s="18"/>
      <c r="E283" s="17"/>
      <c r="F283" s="20">
        <f>Source!AM248</f>
        <v>2012</v>
      </c>
      <c r="G283" s="19" t="str">
        <f>Source!DE248</f>
        <v>*1,15*0,701</v>
      </c>
      <c r="H283" s="17">
        <f>Source!AV248</f>
        <v>1</v>
      </c>
      <c r="I283" s="21">
        <f>(ROUND((ROUND((((Source!ET248*1.15*0.701))*Source!AV248*Source!I248),2)),2)+ROUND((ROUND(((Source!AE248-((Source!EU248*1.15*0.701)))*Source!AV248*Source!I248),2)),2))</f>
        <v>3243.95</v>
      </c>
      <c r="J283" s="17">
        <f>IF(Source!BB248&lt;&gt; 0, Source!BB248, 1)</f>
        <v>11.44</v>
      </c>
      <c r="K283" s="21">
        <f>Source!GY248</f>
        <v>37110.79</v>
      </c>
    </row>
    <row r="284" spans="1:27" ht="14.25" x14ac:dyDescent="0.2">
      <c r="A284" s="15"/>
      <c r="B284" s="16"/>
      <c r="C284" s="16" t="s">
        <v>474</v>
      </c>
      <c r="D284" s="18"/>
      <c r="E284" s="17"/>
      <c r="F284" s="20">
        <f>Source!AL248</f>
        <v>38445</v>
      </c>
      <c r="G284" s="19" t="str">
        <f>Source!DD248</f>
        <v>*0,701</v>
      </c>
      <c r="H284" s="17">
        <f>Source!AW248</f>
        <v>1</v>
      </c>
      <c r="I284" s="21">
        <f>ROUND((ROUND((Source!AC248*Source!AW248*Source!I248),2)),2)</f>
        <v>53899.89</v>
      </c>
      <c r="J284" s="17">
        <f>IF(Source!BC248&lt;&gt; 0, Source!BC248, 1)</f>
        <v>6.26</v>
      </c>
      <c r="K284" s="21">
        <f>Source!P248</f>
        <v>337413.31</v>
      </c>
    </row>
    <row r="285" spans="1:27" ht="14.25" x14ac:dyDescent="0.2">
      <c r="A285" s="15"/>
      <c r="B285" s="16"/>
      <c r="C285" s="16" t="s">
        <v>475</v>
      </c>
      <c r="D285" s="18"/>
      <c r="E285" s="17"/>
      <c r="F285" s="20">
        <f>Source!GT248</f>
        <v>-521</v>
      </c>
      <c r="G285" s="19" t="str">
        <f>Source!GU248</f>
        <v/>
      </c>
      <c r="H285" s="17"/>
      <c r="I285" s="21">
        <f>ROUND(Source!GV248*Source!I248, 2)</f>
        <v>-1042</v>
      </c>
      <c r="J285" s="17">
        <f>IF(Source!GW248&lt;&gt; 0, Source!GW248, 1)</f>
        <v>5.79</v>
      </c>
      <c r="K285" s="21">
        <f>Source!GX248</f>
        <v>-6033.18</v>
      </c>
    </row>
    <row r="286" spans="1:27" ht="28.5" x14ac:dyDescent="0.2">
      <c r="A286" s="15" t="str">
        <f>Source!E249</f>
        <v>35,1</v>
      </c>
      <c r="B286" s="16" t="str">
        <f>Source!F249</f>
        <v>9999990001</v>
      </c>
      <c r="C286" s="16" t="s">
        <v>28</v>
      </c>
      <c r="D286" s="18" t="str">
        <f>Source!H249</f>
        <v>т</v>
      </c>
      <c r="E286" s="17">
        <f>Source!I249</f>
        <v>0.47107199999999999</v>
      </c>
      <c r="F286" s="20">
        <f>Source!AK249</f>
        <v>0</v>
      </c>
      <c r="G286" s="22" t="s">
        <v>502</v>
      </c>
      <c r="H286" s="17">
        <f>Source!AW249</f>
        <v>1</v>
      </c>
      <c r="I286" s="21">
        <f>ROUND((ROUND((Source!AC249*Source!AW249*Source!I249),2)),2)+(ROUND((ROUND(((Source!ET249)*Source!AV249*Source!I249),2)),2)+ROUND((ROUND(((Source!AE249-(Source!EU249))*Source!AV249*Source!I249),2)),2))+ROUND((ROUND((Source!AF249*Source!AV249*Source!I249),2)),2)</f>
        <v>0</v>
      </c>
      <c r="J286" s="17">
        <f>IF(Source!BC249&lt;&gt; 0, Source!BC249, 1)</f>
        <v>1</v>
      </c>
      <c r="K286" s="21">
        <f>Source!O249</f>
        <v>0</v>
      </c>
      <c r="Q286">
        <f>ROUND((Source!DN249/100)*ROUND((ROUND((Source!AF249*Source!AV249*Source!I249),2)),2), 2)</f>
        <v>0</v>
      </c>
      <c r="R286">
        <f>Source!X249</f>
        <v>0</v>
      </c>
      <c r="S286">
        <f>ROUND((Source!DO249/100)*ROUND((ROUND((Source!AF249*Source!AV249*Source!I249),2)),2), 2)</f>
        <v>0</v>
      </c>
      <c r="T286">
        <f>Source!Y249</f>
        <v>0</v>
      </c>
      <c r="U286">
        <f>ROUND((175/100)*ROUND((ROUND((Source!AE249*Source!AV249*Source!I249),2)),2), 2)</f>
        <v>0</v>
      </c>
      <c r="V286">
        <f>ROUND((157/100)*ROUND(ROUND((ROUND((Source!AE249*Source!AV249*Source!I249),2)*Source!BS249),2), 2), 2)</f>
        <v>0</v>
      </c>
      <c r="X286">
        <f>IF(Source!BI249&lt;=1,I286, 0)</f>
        <v>0</v>
      </c>
      <c r="Y286">
        <f>IF(Source!BI249=2,I286, 0)</f>
        <v>0</v>
      </c>
      <c r="Z286">
        <f>IF(Source!BI249=3,I286, 0)</f>
        <v>0</v>
      </c>
      <c r="AA286">
        <f>IF(Source!BI249=4,I286, 0)</f>
        <v>0</v>
      </c>
    </row>
    <row r="287" spans="1:27" ht="28.5" x14ac:dyDescent="0.2">
      <c r="A287" s="15" t="str">
        <f>Source!E250</f>
        <v>35,2</v>
      </c>
      <c r="B287" s="16" t="str">
        <f>Source!F250</f>
        <v>9999990004</v>
      </c>
      <c r="C287" s="16" t="s">
        <v>32</v>
      </c>
      <c r="D287" s="18" t="str">
        <f>Source!H250</f>
        <v>м3</v>
      </c>
      <c r="E287" s="17">
        <f>Source!I250</f>
        <v>33.549860000000002</v>
      </c>
      <c r="F287" s="20">
        <f>Source!AK250</f>
        <v>0</v>
      </c>
      <c r="G287" s="22" t="s">
        <v>502</v>
      </c>
      <c r="H287" s="17">
        <f>Source!AW250</f>
        <v>1</v>
      </c>
      <c r="I287" s="21">
        <f>ROUND((ROUND((Source!AC250*Source!AW250*Source!I250),2)),2)+(ROUND((ROUND(((Source!ET250)*Source!AV250*Source!I250),2)),2)+ROUND((ROUND(((Source!AE250-(Source!EU250))*Source!AV250*Source!I250),2)),2))+ROUND((ROUND((Source!AF250*Source!AV250*Source!I250),2)),2)</f>
        <v>0</v>
      </c>
      <c r="J287" s="17">
        <f>IF(Source!BC250&lt;&gt; 0, Source!BC250, 1)</f>
        <v>1</v>
      </c>
      <c r="K287" s="21">
        <f>Source!O250</f>
        <v>0</v>
      </c>
      <c r="Q287">
        <f>ROUND((Source!DN250/100)*ROUND((ROUND((Source!AF250*Source!AV250*Source!I250),2)),2), 2)</f>
        <v>0</v>
      </c>
      <c r="R287">
        <f>Source!X250</f>
        <v>0</v>
      </c>
      <c r="S287">
        <f>ROUND((Source!DO250/100)*ROUND((ROUND((Source!AF250*Source!AV250*Source!I250),2)),2), 2)</f>
        <v>0</v>
      </c>
      <c r="T287">
        <f>Source!Y250</f>
        <v>0</v>
      </c>
      <c r="U287">
        <f>ROUND((175/100)*ROUND((ROUND((Source!AE250*Source!AV250*Source!I250),2)),2), 2)</f>
        <v>0</v>
      </c>
      <c r="V287">
        <f>ROUND((157/100)*ROUND(ROUND((ROUND((Source!AE250*Source!AV250*Source!I250),2)*Source!BS250),2), 2), 2)</f>
        <v>0</v>
      </c>
      <c r="X287">
        <f>IF(Source!BI250&lt;=1,I287, 0)</f>
        <v>0</v>
      </c>
      <c r="Y287">
        <f>IF(Source!BI250=2,I287, 0)</f>
        <v>0</v>
      </c>
      <c r="Z287">
        <f>IF(Source!BI250=3,I287, 0)</f>
        <v>0</v>
      </c>
      <c r="AA287">
        <f>IF(Source!BI250=4,I287, 0)</f>
        <v>0</v>
      </c>
    </row>
    <row r="288" spans="1:27" ht="14.25" x14ac:dyDescent="0.2">
      <c r="A288" s="23"/>
      <c r="B288" s="24"/>
      <c r="C288" s="24" t="s">
        <v>477</v>
      </c>
      <c r="D288" s="18"/>
      <c r="E288" s="25"/>
      <c r="F288" s="26">
        <f>Source!HA248</f>
        <v>23.93</v>
      </c>
      <c r="G288" s="18"/>
      <c r="H288" s="25"/>
      <c r="I288" s="27"/>
      <c r="J288" s="25"/>
      <c r="K288" s="26">
        <f>Source!HA248*Source!I248</f>
        <v>47.86</v>
      </c>
    </row>
    <row r="289" spans="1:30" ht="14.25" x14ac:dyDescent="0.2">
      <c r="A289" s="23"/>
      <c r="B289" s="24"/>
      <c r="C289" s="24" t="s">
        <v>478</v>
      </c>
      <c r="D289" s="18"/>
      <c r="E289" s="25"/>
      <c r="F289" s="26">
        <f>Source!HB248</f>
        <v>0.33600000000000002</v>
      </c>
      <c r="G289" s="18"/>
      <c r="H289" s="25"/>
      <c r="I289" s="27"/>
      <c r="J289" s="25"/>
      <c r="K289" s="26">
        <f>Source!HB248*Source!I248</f>
        <v>0.67200000000000004</v>
      </c>
    </row>
    <row r="290" spans="1:30" ht="15" x14ac:dyDescent="0.25">
      <c r="A290" s="30"/>
      <c r="B290" s="30"/>
      <c r="C290" s="30"/>
      <c r="D290" s="30"/>
      <c r="E290" s="30"/>
      <c r="F290" s="30"/>
      <c r="G290" s="30"/>
      <c r="H290" s="74">
        <f>I282+I283+I284+I285+SUM(I286:I287)</f>
        <v>65680.509999999995</v>
      </c>
      <c r="I290" s="74"/>
      <c r="J290" s="74">
        <f>K282+K283+K284+K285+SUM(K286:K287)</f>
        <v>551251.93999999994</v>
      </c>
      <c r="K290" s="74"/>
      <c r="O290" s="28">
        <f>I282+I283+I284+I285+SUM(I286:I287)</f>
        <v>65680.509999999995</v>
      </c>
      <c r="P290" s="28">
        <f>K282+K283+K284+K285+SUM(K286:K287)</f>
        <v>551251.93999999994</v>
      </c>
      <c r="X290">
        <f>IF(Source!BI248&lt;=1,I282+I283+I284+I285-I285, 0)</f>
        <v>66722.509999999995</v>
      </c>
      <c r="Y290">
        <f>IF(Source!BI248=2,I282+I283+I284+I285-I285, 0)</f>
        <v>0</v>
      </c>
      <c r="Z290">
        <f>IF(Source!BI248=3,I282+I283+I284+I285-I285, 0)</f>
        <v>0</v>
      </c>
      <c r="AA290">
        <f>IF(Source!BI248=4,I282+I283+I284+I285,I285)</f>
        <v>-1042</v>
      </c>
      <c r="AC290" s="28">
        <f>I282+I283+I284+I285+SUM(I286:I287)</f>
        <v>65680.509999999995</v>
      </c>
      <c r="AD290" s="28">
        <f>K282+K283+K284+K285+SUM(K286:K287)</f>
        <v>551251.93999999994</v>
      </c>
    </row>
    <row r="291" spans="1:30" ht="41.25" x14ac:dyDescent="0.2">
      <c r="A291" s="15" t="str">
        <f>Source!E251</f>
        <v>36</v>
      </c>
      <c r="B291" s="16" t="str">
        <f>Source!F251</f>
        <v>16.1-2603-1</v>
      </c>
      <c r="C291" s="16" t="s">
        <v>503</v>
      </c>
      <c r="D291" s="18" t="str">
        <f>Source!H251</f>
        <v>1 УЗЕЛ</v>
      </c>
      <c r="E291" s="17">
        <f>Source!I251</f>
        <v>2</v>
      </c>
      <c r="F291" s="20"/>
      <c r="G291" s="19"/>
      <c r="H291" s="17"/>
      <c r="I291" s="21"/>
      <c r="J291" s="17"/>
      <c r="K291" s="21"/>
      <c r="Q291">
        <f>ROUND((Source!DN251/100)*ROUND((ROUND((Source!AF251*Source!AV251*Source!I251),2)),2), 2)</f>
        <v>0</v>
      </c>
      <c r="R291">
        <f>Source!X251</f>
        <v>0</v>
      </c>
      <c r="S291">
        <f>ROUND((Source!DO251/100)*ROUND((ROUND((Source!AF251*Source!AV251*Source!I251),2)),2), 2)</f>
        <v>0</v>
      </c>
      <c r="T291">
        <f>Source!Y251</f>
        <v>0</v>
      </c>
      <c r="U291">
        <f>ROUND((175/100)*ROUND((ROUND((Source!AE251*Source!AV251*Source!I251),2)),2), 2)</f>
        <v>0</v>
      </c>
      <c r="V291">
        <f>ROUND((157/100)*ROUND(ROUND((ROUND((Source!AE251*Source!AV251*Source!I251),2)*Source!BS251),2), 2), 2)</f>
        <v>0</v>
      </c>
    </row>
    <row r="292" spans="1:30" ht="14.25" x14ac:dyDescent="0.2">
      <c r="A292" s="15"/>
      <c r="B292" s="16"/>
      <c r="C292" s="16" t="s">
        <v>471</v>
      </c>
      <c r="D292" s="18"/>
      <c r="E292" s="17"/>
      <c r="F292" s="20"/>
      <c r="G292" s="19"/>
      <c r="H292" s="17"/>
      <c r="I292" s="21">
        <f>I293+I294+I295+SUM(I296:I296)</f>
        <v>305808.71999999997</v>
      </c>
      <c r="J292" s="17"/>
      <c r="K292" s="21">
        <f>K293+K294+K295+SUM(K296:K296)</f>
        <v>1662452.45</v>
      </c>
    </row>
    <row r="293" spans="1:30" ht="14.25" x14ac:dyDescent="0.2">
      <c r="A293" s="15"/>
      <c r="B293" s="16"/>
      <c r="C293" s="16" t="s">
        <v>472</v>
      </c>
      <c r="D293" s="18"/>
      <c r="E293" s="17"/>
      <c r="F293" s="20">
        <f>Source!AO251</f>
        <v>7504</v>
      </c>
      <c r="G293" s="19" t="str">
        <f>Source!DG251</f>
        <v>*1,15</v>
      </c>
      <c r="H293" s="17">
        <f>Source!AV251</f>
        <v>1</v>
      </c>
      <c r="I293" s="21">
        <f>ROUND((ROUND((Source!AF251*Source!AV251*Source!I251),2)),2)</f>
        <v>17259.2</v>
      </c>
      <c r="J293" s="17">
        <f>IF(Source!BA251&lt;&gt; 0, Source!BA251, 1)</f>
        <v>16.93</v>
      </c>
      <c r="K293" s="21">
        <f>Source!GZ251</f>
        <v>292198.26</v>
      </c>
    </row>
    <row r="294" spans="1:30" ht="14.25" x14ac:dyDescent="0.2">
      <c r="A294" s="15"/>
      <c r="B294" s="16"/>
      <c r="C294" s="16" t="s">
        <v>473</v>
      </c>
      <c r="D294" s="18"/>
      <c r="E294" s="17"/>
      <c r="F294" s="20">
        <f>Source!AM251</f>
        <v>5018</v>
      </c>
      <c r="G294" s="19" t="str">
        <f>Source!DE251</f>
        <v>*1,15</v>
      </c>
      <c r="H294" s="17">
        <f>Source!AV251</f>
        <v>1</v>
      </c>
      <c r="I294" s="21">
        <f>(ROUND((ROUND((((Source!ET251*1.15))*Source!AV251*Source!I251),2)),2)+ROUND((ROUND(((Source!AE251-((Source!EU251*1.15)))*Source!AV251*Source!I251),2)),2))</f>
        <v>11541.4</v>
      </c>
      <c r="J294" s="17">
        <f>IF(Source!BB251&lt;&gt; 0, Source!BB251, 1)</f>
        <v>10.65</v>
      </c>
      <c r="K294" s="21">
        <f>Source!GY251</f>
        <v>122915.91</v>
      </c>
    </row>
    <row r="295" spans="1:30" ht="14.25" x14ac:dyDescent="0.2">
      <c r="A295" s="15"/>
      <c r="B295" s="16"/>
      <c r="C295" s="16" t="s">
        <v>474</v>
      </c>
      <c r="D295" s="18"/>
      <c r="E295" s="17"/>
      <c r="F295" s="20">
        <f>Source!AL251</f>
        <v>27212</v>
      </c>
      <c r="G295" s="19" t="str">
        <f>Source!DD251</f>
        <v/>
      </c>
      <c r="H295" s="17">
        <f>Source!AW251</f>
        <v>1</v>
      </c>
      <c r="I295" s="21">
        <f>ROUND((ROUND((Source!AC251*Source!AW251*Source!I251),2)),2)</f>
        <v>54424</v>
      </c>
      <c r="J295" s="17">
        <f>IF(Source!BC251&lt;&gt; 0, Source!BC251, 1)</f>
        <v>5.21</v>
      </c>
      <c r="K295" s="21">
        <f>Source!P251</f>
        <v>283549.03999999998</v>
      </c>
    </row>
    <row r="296" spans="1:30" ht="68.25" x14ac:dyDescent="0.2">
      <c r="A296" s="34" t="str">
        <f>Source!E252</f>
        <v>36,1</v>
      </c>
      <c r="B296" s="35" t="str">
        <f>Source!F252</f>
        <v>дог. пост.№ЭК-51/15-ДПЛ от 22.06.15</v>
      </c>
      <c r="C296" s="35" t="s">
        <v>504</v>
      </c>
      <c r="D296" s="36" t="str">
        <f>Source!H252</f>
        <v>1 шт.</v>
      </c>
      <c r="E296" s="37">
        <f>Source!I252</f>
        <v>4</v>
      </c>
      <c r="F296" s="38">
        <f>Source!AK252</f>
        <v>55646.030000000006</v>
      </c>
      <c r="G296" s="40" t="s">
        <v>3</v>
      </c>
      <c r="H296" s="37">
        <f>Source!AW252</f>
        <v>1</v>
      </c>
      <c r="I296" s="39">
        <f>ROUND((ROUND((Source!AC252*Source!AW252*Source!I252),2)),2)+(ROUND((ROUND(((Source!ET252)*Source!AV252*Source!I252),2)),2)+ROUND((ROUND(((Source!AE252-(Source!EU252))*Source!AV252*Source!I252),2)),2))+ROUND((ROUND((Source!AF252*Source!AV252*Source!I252),2)),2)</f>
        <v>222584.12</v>
      </c>
      <c r="J296" s="37">
        <f>IF(Source!BC252&lt;&gt; 0, Source!BC252, 1)</f>
        <v>4.33</v>
      </c>
      <c r="K296" s="39">
        <f>Source!O252</f>
        <v>963789.24</v>
      </c>
      <c r="Q296">
        <f>ROUND((Source!DN252/100)*ROUND((ROUND((Source!AF252*Source!AV252*Source!I252),2)),2), 2)</f>
        <v>0</v>
      </c>
      <c r="R296">
        <f>Source!X252</f>
        <v>0</v>
      </c>
      <c r="S296">
        <f>ROUND((Source!DO252/100)*ROUND((ROUND((Source!AF252*Source!AV252*Source!I252),2)),2), 2)</f>
        <v>0</v>
      </c>
      <c r="T296">
        <f>Source!Y252</f>
        <v>0</v>
      </c>
      <c r="U296">
        <f>ROUND((175/100)*ROUND((ROUND((Source!AE252*Source!AV252*Source!I252),2)),2), 2)</f>
        <v>0</v>
      </c>
      <c r="V296">
        <f>ROUND((157/100)*ROUND(ROUND((ROUND((Source!AE252*Source!AV252*Source!I252),2)*Source!BS252),2), 2), 2)</f>
        <v>0</v>
      </c>
      <c r="X296">
        <f>IF(Source!BI252&lt;=1,I296, 0)</f>
        <v>0</v>
      </c>
      <c r="Y296">
        <f>IF(Source!BI252=2,I296, 0)</f>
        <v>0</v>
      </c>
      <c r="Z296">
        <f>IF(Source!BI252=3,I296, 0)</f>
        <v>222584.12</v>
      </c>
      <c r="AA296">
        <f>IF(Source!BI252=4,I296, 0)</f>
        <v>0</v>
      </c>
    </row>
    <row r="297" spans="1:30" ht="15" x14ac:dyDescent="0.25">
      <c r="A297" s="30"/>
      <c r="B297" s="30"/>
      <c r="C297" s="30"/>
      <c r="D297" s="30"/>
      <c r="E297" s="30"/>
      <c r="F297" s="30"/>
      <c r="G297" s="30"/>
      <c r="H297" s="74">
        <f>I293+I294+I295+SUM(I296:I296)</f>
        <v>305808.71999999997</v>
      </c>
      <c r="I297" s="74"/>
      <c r="J297" s="74">
        <f>K293+K294+K295+SUM(K296:K296)</f>
        <v>1662452.45</v>
      </c>
      <c r="K297" s="74"/>
      <c r="O297" s="28">
        <f>I293+I294+I295+SUM(I296:I296)</f>
        <v>305808.71999999997</v>
      </c>
      <c r="P297" s="28">
        <f>K293+K294+K295+SUM(K296:K296)</f>
        <v>1662452.45</v>
      </c>
      <c r="X297">
        <f>IF(Source!BI251&lt;=1,I293+I294+I295-0, 0)</f>
        <v>83224.600000000006</v>
      </c>
      <c r="Y297">
        <f>IF(Source!BI251=2,I293+I294+I295-0, 0)</f>
        <v>0</v>
      </c>
      <c r="Z297">
        <f>IF(Source!BI251=3,I293+I294+I295-0, 0)</f>
        <v>0</v>
      </c>
      <c r="AA297">
        <f>IF(Source!BI251=4,I293+I294+I295,0)</f>
        <v>0</v>
      </c>
      <c r="AC297" s="28">
        <f>I293+I294+I295+SUM(I296:I296)</f>
        <v>305808.71999999997</v>
      </c>
      <c r="AD297" s="28">
        <f>K293+K294+K295+SUM(K296:K296)</f>
        <v>1662452.45</v>
      </c>
    </row>
    <row r="298" spans="1:30" ht="42.75" x14ac:dyDescent="0.2">
      <c r="A298" s="15" t="str">
        <f>Source!E253</f>
        <v>37</v>
      </c>
      <c r="B298" s="16" t="str">
        <f>Source!F253</f>
        <v>16.3-14-1</v>
      </c>
      <c r="C298" s="16" t="s">
        <v>36</v>
      </c>
      <c r="D298" s="18" t="str">
        <f>Source!H253</f>
        <v>1 м2</v>
      </c>
      <c r="E298" s="17">
        <f>Source!I253</f>
        <v>128</v>
      </c>
      <c r="F298" s="20"/>
      <c r="G298" s="19"/>
      <c r="H298" s="17"/>
      <c r="I298" s="21"/>
      <c r="J298" s="17"/>
      <c r="K298" s="21"/>
      <c r="Q298">
        <f>ROUND((Source!DN253/100)*ROUND((ROUND((Source!AF253*Source!AV253*Source!I253),2)),2), 2)</f>
        <v>0</v>
      </c>
      <c r="R298">
        <f>Source!X253</f>
        <v>0</v>
      </c>
      <c r="S298">
        <f>ROUND((Source!DO253/100)*ROUND((ROUND((Source!AF253*Source!AV253*Source!I253),2)),2), 2)</f>
        <v>0</v>
      </c>
      <c r="T298">
        <f>Source!Y253</f>
        <v>0</v>
      </c>
      <c r="U298">
        <f>ROUND((175/100)*ROUND((ROUND((Source!AE253*Source!AV253*Source!I253),2)),2), 2)</f>
        <v>0</v>
      </c>
      <c r="V298">
        <f>ROUND((157/100)*ROUND(ROUND((ROUND((Source!AE253*Source!AV253*Source!I253),2)*Source!BS253),2), 2), 2)</f>
        <v>0</v>
      </c>
    </row>
    <row r="299" spans="1:30" x14ac:dyDescent="0.2">
      <c r="C299" s="31" t="str">
        <f>"Объем: "&amp;Source!I253&amp;"=(3,2+"&amp;"3,2)*"&amp;"2*"&amp;"5*"&amp;""&amp;Source!I248&amp;""</f>
        <v>Объем: 128=(3,2+3,2)*2*5*2</v>
      </c>
    </row>
    <row r="300" spans="1:30" ht="14.25" x14ac:dyDescent="0.2">
      <c r="A300" s="15"/>
      <c r="B300" s="16"/>
      <c r="C300" s="16" t="s">
        <v>471</v>
      </c>
      <c r="D300" s="18"/>
      <c r="E300" s="17"/>
      <c r="F300" s="20"/>
      <c r="G300" s="19"/>
      <c r="H300" s="17"/>
      <c r="I300" s="21">
        <f>I301+I302+I303+SUM(I304:I304)</f>
        <v>19283.2</v>
      </c>
      <c r="J300" s="17"/>
      <c r="K300" s="21">
        <f>K301+K302+K303+SUM(K304:K304)</f>
        <v>221153.28</v>
      </c>
    </row>
    <row r="301" spans="1:30" ht="14.25" x14ac:dyDescent="0.2">
      <c r="A301" s="15"/>
      <c r="B301" s="16"/>
      <c r="C301" s="16" t="s">
        <v>472</v>
      </c>
      <c r="D301" s="18"/>
      <c r="E301" s="17"/>
      <c r="F301" s="20">
        <f>Source!AO253</f>
        <v>41</v>
      </c>
      <c r="G301" s="19" t="str">
        <f>Source!DG253</f>
        <v>*1,15</v>
      </c>
      <c r="H301" s="17">
        <f>Source!AV253</f>
        <v>1</v>
      </c>
      <c r="I301" s="21">
        <f>ROUND((ROUND((Source!AF253*Source!AV253*Source!I253),2)),2)</f>
        <v>6035.2</v>
      </c>
      <c r="J301" s="17">
        <f>IF(Source!BA253&lt;&gt; 0, Source!BA253, 1)</f>
        <v>18.899999999999999</v>
      </c>
      <c r="K301" s="21">
        <f>Source!GZ253</f>
        <v>114065.28</v>
      </c>
    </row>
    <row r="302" spans="1:30" ht="14.25" x14ac:dyDescent="0.2">
      <c r="A302" s="15"/>
      <c r="B302" s="16"/>
      <c r="C302" s="16" t="s">
        <v>473</v>
      </c>
      <c r="D302" s="18"/>
      <c r="E302" s="17"/>
      <c r="F302" s="20">
        <f>Source!AM253</f>
        <v>30</v>
      </c>
      <c r="G302" s="19" t="str">
        <f>Source!DE253</f>
        <v>*1,15</v>
      </c>
      <c r="H302" s="17">
        <f>Source!AV253</f>
        <v>1</v>
      </c>
      <c r="I302" s="21">
        <f>(ROUND((ROUND((((Source!ET253*1.15))*Source!AV253*Source!I253),2)),2)+ROUND((ROUND(((Source!AE253-((Source!EU253*1.15)))*Source!AV253*Source!I253),2)),2))</f>
        <v>4416</v>
      </c>
      <c r="J302" s="17">
        <f>IF(Source!BB253&lt;&gt; 0, Source!BB253, 1)</f>
        <v>7.73</v>
      </c>
      <c r="K302" s="21">
        <f>Source!GY253</f>
        <v>34135.68</v>
      </c>
    </row>
    <row r="303" spans="1:30" ht="14.25" x14ac:dyDescent="0.2">
      <c r="A303" s="15"/>
      <c r="B303" s="16"/>
      <c r="C303" s="16" t="s">
        <v>474</v>
      </c>
      <c r="D303" s="18"/>
      <c r="E303" s="17"/>
      <c r="F303" s="20">
        <f>Source!AL253</f>
        <v>69</v>
      </c>
      <c r="G303" s="19" t="str">
        <f>Source!DD253</f>
        <v/>
      </c>
      <c r="H303" s="17">
        <f>Source!AW253</f>
        <v>1</v>
      </c>
      <c r="I303" s="21">
        <f>ROUND((ROUND((Source!AC253*Source!AW253*Source!I253),2)),2)</f>
        <v>8832</v>
      </c>
      <c r="J303" s="17">
        <f>IF(Source!BC253&lt;&gt; 0, Source!BC253, 1)</f>
        <v>8.26</v>
      </c>
      <c r="K303" s="21">
        <f>Source!P253</f>
        <v>72952.320000000007</v>
      </c>
    </row>
    <row r="304" spans="1:30" ht="28.5" x14ac:dyDescent="0.2">
      <c r="A304" s="15" t="str">
        <f>Source!E254</f>
        <v>37,1</v>
      </c>
      <c r="B304" s="16" t="str">
        <f>Source!F254</f>
        <v>9999990004</v>
      </c>
      <c r="C304" s="16" t="s">
        <v>32</v>
      </c>
      <c r="D304" s="18" t="str">
        <f>Source!H254</f>
        <v>м3</v>
      </c>
      <c r="E304" s="17">
        <f>Source!I254</f>
        <v>25.6</v>
      </c>
      <c r="F304" s="20">
        <f>Source!AK254</f>
        <v>0</v>
      </c>
      <c r="G304" s="22" t="s">
        <v>3</v>
      </c>
      <c r="H304" s="17">
        <f>Source!AW254</f>
        <v>1</v>
      </c>
      <c r="I304" s="21">
        <f>ROUND((ROUND((Source!AC254*Source!AW254*Source!I254),2)),2)+(ROUND((ROUND(((Source!ET254)*Source!AV254*Source!I254),2)),2)+ROUND((ROUND(((Source!AE254-(Source!EU254))*Source!AV254*Source!I254),2)),2))+ROUND((ROUND((Source!AF254*Source!AV254*Source!I254),2)),2)</f>
        <v>0</v>
      </c>
      <c r="J304" s="17">
        <f>IF(Source!BC254&lt;&gt; 0, Source!BC254, 1)</f>
        <v>1</v>
      </c>
      <c r="K304" s="21">
        <f>Source!O254</f>
        <v>0</v>
      </c>
      <c r="Q304">
        <f>ROUND((Source!DN254/100)*ROUND((ROUND((Source!AF254*Source!AV254*Source!I254),2)),2), 2)</f>
        <v>0</v>
      </c>
      <c r="R304">
        <f>Source!X254</f>
        <v>0</v>
      </c>
      <c r="S304">
        <f>ROUND((Source!DO254/100)*ROUND((ROUND((Source!AF254*Source!AV254*Source!I254),2)),2), 2)</f>
        <v>0</v>
      </c>
      <c r="T304">
        <f>Source!Y254</f>
        <v>0</v>
      </c>
      <c r="U304">
        <f>ROUND((175/100)*ROUND((ROUND((Source!AE254*Source!AV254*Source!I254),2)),2), 2)</f>
        <v>0</v>
      </c>
      <c r="V304">
        <f>ROUND((157/100)*ROUND(ROUND((ROUND((Source!AE254*Source!AV254*Source!I254),2)*Source!BS254),2), 2), 2)</f>
        <v>0</v>
      </c>
      <c r="X304">
        <f>IF(Source!BI254&lt;=1,I304, 0)</f>
        <v>0</v>
      </c>
      <c r="Y304">
        <f>IF(Source!BI254=2,I304, 0)</f>
        <v>0</v>
      </c>
      <c r="Z304">
        <f>IF(Source!BI254=3,I304, 0)</f>
        <v>0</v>
      </c>
      <c r="AA304">
        <f>IF(Source!BI254=4,I304, 0)</f>
        <v>0</v>
      </c>
    </row>
    <row r="305" spans="1:30" ht="14.25" x14ac:dyDescent="0.2">
      <c r="A305" s="23"/>
      <c r="B305" s="24"/>
      <c r="C305" s="24" t="s">
        <v>477</v>
      </c>
      <c r="D305" s="18"/>
      <c r="E305" s="25"/>
      <c r="F305" s="26">
        <f>Source!HA253</f>
        <v>0.2</v>
      </c>
      <c r="G305" s="18"/>
      <c r="H305" s="25"/>
      <c r="I305" s="27"/>
      <c r="J305" s="25"/>
      <c r="K305" s="26">
        <f>Source!HA253*Source!I253</f>
        <v>25.6</v>
      </c>
    </row>
    <row r="306" spans="1:30" ht="15" x14ac:dyDescent="0.25">
      <c r="A306" s="30"/>
      <c r="B306" s="30"/>
      <c r="C306" s="30"/>
      <c r="D306" s="30"/>
      <c r="E306" s="30"/>
      <c r="F306" s="30"/>
      <c r="G306" s="30"/>
      <c r="H306" s="74">
        <f>I301+I302+I303+SUM(I304:I304)</f>
        <v>19283.2</v>
      </c>
      <c r="I306" s="74"/>
      <c r="J306" s="74">
        <f>K301+K302+K303+SUM(K304:K304)</f>
        <v>221153.28</v>
      </c>
      <c r="K306" s="74"/>
      <c r="O306" s="28">
        <f>I301+I302+I303+SUM(I304:I304)</f>
        <v>19283.2</v>
      </c>
      <c r="P306" s="28">
        <f>K301+K302+K303+SUM(K304:K304)</f>
        <v>221153.28</v>
      </c>
      <c r="X306">
        <f>IF(Source!BI253&lt;=1,I301+I302+I303-0, 0)</f>
        <v>19283.2</v>
      </c>
      <c r="Y306">
        <f>IF(Source!BI253=2,I301+I302+I303-0, 0)</f>
        <v>0</v>
      </c>
      <c r="Z306">
        <f>IF(Source!BI253=3,I301+I302+I303-0, 0)</f>
        <v>0</v>
      </c>
      <c r="AA306">
        <f>IF(Source!BI253=4,I301+I302+I303,0)</f>
        <v>0</v>
      </c>
      <c r="AC306" s="28">
        <f>I301+I302+I303+SUM(I304:I304)</f>
        <v>19283.2</v>
      </c>
      <c r="AD306" s="28">
        <f>K301+K302+K303+SUM(K304:K304)</f>
        <v>221153.28</v>
      </c>
    </row>
    <row r="307" spans="1:30" ht="56.25" x14ac:dyDescent="0.2">
      <c r="A307" s="15" t="str">
        <f>Source!E255</f>
        <v>38</v>
      </c>
      <c r="B307" s="16" t="str">
        <f>Source!F255</f>
        <v>3.7-46-1</v>
      </c>
      <c r="C307" s="16" t="s">
        <v>273</v>
      </c>
      <c r="D307" s="49" t="str">
        <f>Source!H255</f>
        <v>100 м3 сборных железобетонных конструкций</v>
      </c>
      <c r="E307" s="17">
        <f>Source!I255</f>
        <v>0.29499999999999998</v>
      </c>
      <c r="F307" s="20"/>
      <c r="G307" s="19"/>
      <c r="H307" s="17"/>
      <c r="I307" s="21"/>
      <c r="J307" s="17"/>
      <c r="K307" s="21"/>
      <c r="Q307">
        <f>ROUND((Source!DN255/100)*ROUND((ROUND((Source!AF255*Source!AV255*Source!I255),2)),2), 2)</f>
        <v>4666.68</v>
      </c>
      <c r="R307">
        <f>Source!X255</f>
        <v>77992.88</v>
      </c>
      <c r="S307">
        <f>ROUND((Source!DO255/100)*ROUND((ROUND((Source!AF255*Source!AV255*Source!I255),2)),2), 2)</f>
        <v>3492.67</v>
      </c>
      <c r="T307">
        <f>Source!Y255</f>
        <v>35222.589999999997</v>
      </c>
      <c r="U307">
        <f>ROUND((175/100)*ROUND((ROUND((Source!AE255*Source!AV255*Source!I255),2)),2), 2)</f>
        <v>54.02</v>
      </c>
      <c r="V307">
        <f>ROUND((157/100)*ROUND(ROUND((ROUND((Source!AE255*Source!AV255*Source!I255),2)*Source!BS255),2), 2), 2)</f>
        <v>1038.6199999999999</v>
      </c>
    </row>
    <row r="308" spans="1:30" ht="25.5" x14ac:dyDescent="0.2">
      <c r="C308" s="31" t="str">
        <f>"Объем: "&amp;Source!I255&amp;"=((3,2+"&amp;"3,2)*"&amp;"2*"&amp;"2*"&amp;"0,4+"&amp;"3,2*"&amp;"3,2*"&amp;"0,22*"&amp;"2)*"&amp;""&amp;Source!I248&amp;"/"&amp;"100"</f>
        <v>Объем: 0,295=((3,2+3,2)*2*2*0,4+3,2*3,2*0,22*2)*2/100</v>
      </c>
    </row>
    <row r="309" spans="1:30" ht="14.25" x14ac:dyDescent="0.2">
      <c r="A309" s="15"/>
      <c r="B309" s="16"/>
      <c r="C309" s="16" t="s">
        <v>479</v>
      </c>
      <c r="D309" s="18"/>
      <c r="E309" s="17"/>
      <c r="F309" s="20">
        <f>Source!AO255</f>
        <v>9948.81</v>
      </c>
      <c r="G309" s="19" t="str">
        <f>Source!DG255</f>
        <v>*1,15*0,8</v>
      </c>
      <c r="H309" s="17">
        <f>Source!AV255</f>
        <v>1.087</v>
      </c>
      <c r="I309" s="21">
        <f>ROUND((ROUND((Source!AF255*Source!AV255*Source!I255),2)),2)</f>
        <v>2935.02</v>
      </c>
      <c r="J309" s="17">
        <f>IF(Source!BA255&lt;&gt; 0, Source!BA255, 1)</f>
        <v>21.43</v>
      </c>
      <c r="K309" s="21">
        <f>Source!S255</f>
        <v>62897.48</v>
      </c>
      <c r="W309">
        <f>I309</f>
        <v>2935.02</v>
      </c>
    </row>
    <row r="310" spans="1:30" ht="14.25" x14ac:dyDescent="0.2">
      <c r="A310" s="15"/>
      <c r="B310" s="16"/>
      <c r="C310" s="16" t="s">
        <v>480</v>
      </c>
      <c r="D310" s="18"/>
      <c r="E310" s="17"/>
      <c r="F310" s="20">
        <f>Source!AM255</f>
        <v>616.74</v>
      </c>
      <c r="G310" s="19" t="str">
        <f>Source!DE255</f>
        <v>*1,15*0,8</v>
      </c>
      <c r="H310" s="17">
        <f>Source!AV255</f>
        <v>1.087</v>
      </c>
      <c r="I310" s="21">
        <f>(ROUND((ROUND((((Source!ET255*1.15*0.8))*Source!AV255*Source!I255),2)),2)+ROUND((ROUND(((Source!AE255-((Source!EU255*1.15*0.8)))*Source!AV255*Source!I255),2)),2))</f>
        <v>181.95</v>
      </c>
      <c r="J310" s="17">
        <f>IF(Source!BB255&lt;&gt; 0, Source!BB255, 1)</f>
        <v>8.75</v>
      </c>
      <c r="K310" s="21">
        <f>Source!Q255</f>
        <v>1592.06</v>
      </c>
    </row>
    <row r="311" spans="1:30" ht="14.25" x14ac:dyDescent="0.2">
      <c r="A311" s="15"/>
      <c r="B311" s="16"/>
      <c r="C311" s="16" t="s">
        <v>481</v>
      </c>
      <c r="D311" s="18"/>
      <c r="E311" s="17"/>
      <c r="F311" s="20">
        <f>Source!AN255</f>
        <v>104.65</v>
      </c>
      <c r="G311" s="19" t="str">
        <f>Source!DF255</f>
        <v>*1,15*0,8</v>
      </c>
      <c r="H311" s="17">
        <f>Source!AV255</f>
        <v>1.087</v>
      </c>
      <c r="I311" s="27">
        <f>ROUND((ROUND((Source!AE255*Source!AV255*Source!I255),2)),2)</f>
        <v>30.87</v>
      </c>
      <c r="J311" s="17">
        <f>IF(Source!BS255&lt;&gt; 0, Source!BS255, 1)</f>
        <v>21.43</v>
      </c>
      <c r="K311" s="27">
        <f>Source!R255</f>
        <v>661.54</v>
      </c>
      <c r="W311">
        <f>I311</f>
        <v>30.87</v>
      </c>
    </row>
    <row r="312" spans="1:30" ht="14.25" x14ac:dyDescent="0.2">
      <c r="A312" s="15" t="str">
        <f>Source!E256</f>
        <v>38,1</v>
      </c>
      <c r="B312" s="16" t="str">
        <f>Source!F256</f>
        <v/>
      </c>
      <c r="C312" s="16" t="s">
        <v>280</v>
      </c>
      <c r="D312" s="18" t="str">
        <f>Source!H256</f>
        <v>1 т</v>
      </c>
      <c r="E312" s="17">
        <f>Source!I256</f>
        <v>73.75</v>
      </c>
      <c r="F312" s="20">
        <f>Source!AK256</f>
        <v>0</v>
      </c>
      <c r="G312" s="22" t="s">
        <v>3</v>
      </c>
      <c r="H312" s="17">
        <f>Source!AW256</f>
        <v>1.0029999999999999</v>
      </c>
      <c r="I312" s="21">
        <f>ROUND((ROUND((Source!AC256*Source!AW256*Source!I256),2)),2)+(ROUND((ROUND(((Source!ET256)*Source!AV256*Source!I256),2)),2)+ROUND((ROUND(((Source!AE256-(Source!EU256))*Source!AV256*Source!I256),2)),2))+ROUND((ROUND((Source!AF256*Source!AV256*Source!I256),2)),2)</f>
        <v>0</v>
      </c>
      <c r="J312" s="17">
        <f>IF(Source!BC256&lt;&gt; 0, Source!BC256, 1)</f>
        <v>1</v>
      </c>
      <c r="K312" s="21">
        <f>Source!O256</f>
        <v>0</v>
      </c>
      <c r="Q312">
        <f>ROUND((Source!DN256/100)*ROUND((ROUND((Source!AF256*Source!AV256*Source!I256),2)),2), 2)</f>
        <v>0</v>
      </c>
      <c r="R312">
        <f>Source!X256</f>
        <v>0</v>
      </c>
      <c r="S312">
        <f>ROUND((Source!DO256/100)*ROUND((ROUND((Source!AF256*Source!AV256*Source!I256),2)),2), 2)</f>
        <v>0</v>
      </c>
      <c r="T312">
        <f>Source!Y256</f>
        <v>0</v>
      </c>
      <c r="U312">
        <f>ROUND((175/100)*ROUND((ROUND((Source!AE256*Source!AV256*Source!I256),2)),2), 2)</f>
        <v>0</v>
      </c>
      <c r="V312">
        <f>ROUND((157/100)*ROUND(ROUND((ROUND((Source!AE256*Source!AV256*Source!I256),2)*Source!BS256),2), 2), 2)</f>
        <v>0</v>
      </c>
      <c r="X312">
        <f>IF(Source!BI256&lt;=1,I312, 0)</f>
        <v>0</v>
      </c>
      <c r="Y312">
        <f>IF(Source!BI256=2,I312, 0)</f>
        <v>0</v>
      </c>
      <c r="Z312">
        <f>IF(Source!BI256=3,I312, 0)</f>
        <v>0</v>
      </c>
      <c r="AA312">
        <f>IF(Source!BI256=4,I312, 0)</f>
        <v>0</v>
      </c>
    </row>
    <row r="313" spans="1:30" ht="14.25" x14ac:dyDescent="0.2">
      <c r="A313" s="15"/>
      <c r="B313" s="16"/>
      <c r="C313" s="16" t="s">
        <v>482</v>
      </c>
      <c r="D313" s="18" t="s">
        <v>483</v>
      </c>
      <c r="E313" s="17">
        <f>Source!DN255</f>
        <v>159</v>
      </c>
      <c r="F313" s="20"/>
      <c r="G313" s="19"/>
      <c r="H313" s="17"/>
      <c r="I313" s="21">
        <f>SUM(Q307:Q312)</f>
        <v>4666.68</v>
      </c>
      <c r="J313" s="17">
        <f>Source!BZ255</f>
        <v>124</v>
      </c>
      <c r="K313" s="21">
        <f>SUM(R307:R312)</f>
        <v>77992.88</v>
      </c>
    </row>
    <row r="314" spans="1:30" ht="14.25" x14ac:dyDescent="0.2">
      <c r="A314" s="15"/>
      <c r="B314" s="16"/>
      <c r="C314" s="16" t="s">
        <v>484</v>
      </c>
      <c r="D314" s="18" t="s">
        <v>483</v>
      </c>
      <c r="E314" s="17">
        <f>Source!DO255</f>
        <v>119</v>
      </c>
      <c r="F314" s="20"/>
      <c r="G314" s="19"/>
      <c r="H314" s="17"/>
      <c r="I314" s="21">
        <f>SUM(S307:S313)</f>
        <v>3492.67</v>
      </c>
      <c r="J314" s="17">
        <f>Source!CA255</f>
        <v>56</v>
      </c>
      <c r="K314" s="21">
        <f>SUM(T307:T313)</f>
        <v>35222.589999999997</v>
      </c>
    </row>
    <row r="315" spans="1:30" ht="14.25" x14ac:dyDescent="0.2">
      <c r="A315" s="15"/>
      <c r="B315" s="16"/>
      <c r="C315" s="16" t="s">
        <v>485</v>
      </c>
      <c r="D315" s="18" t="s">
        <v>483</v>
      </c>
      <c r="E315" s="17">
        <f>175</f>
        <v>175</v>
      </c>
      <c r="F315" s="20"/>
      <c r="G315" s="19"/>
      <c r="H315" s="17"/>
      <c r="I315" s="21">
        <f>SUM(U307:U314)</f>
        <v>54.02</v>
      </c>
      <c r="J315" s="17">
        <f>157</f>
        <v>157</v>
      </c>
      <c r="K315" s="21">
        <f>SUM(V307:V314)</f>
        <v>1038.6199999999999</v>
      </c>
    </row>
    <row r="316" spans="1:30" ht="14.25" x14ac:dyDescent="0.2">
      <c r="A316" s="15"/>
      <c r="B316" s="16"/>
      <c r="C316" s="16" t="s">
        <v>486</v>
      </c>
      <c r="D316" s="18" t="s">
        <v>487</v>
      </c>
      <c r="E316" s="17">
        <f>Source!AQ255</f>
        <v>827</v>
      </c>
      <c r="F316" s="20"/>
      <c r="G316" s="19" t="str">
        <f>Source!DI255</f>
        <v>*1,15*0,8</v>
      </c>
      <c r="H316" s="17">
        <f>Source!AV255</f>
        <v>1.087</v>
      </c>
      <c r="I316" s="21">
        <f>Source!U255</f>
        <v>243.9747586</v>
      </c>
      <c r="J316" s="17"/>
      <c r="K316" s="21"/>
    </row>
    <row r="317" spans="1:30" ht="15" x14ac:dyDescent="0.25">
      <c r="A317" s="30"/>
      <c r="B317" s="30"/>
      <c r="C317" s="30"/>
      <c r="D317" s="30"/>
      <c r="E317" s="30"/>
      <c r="F317" s="30"/>
      <c r="G317" s="30"/>
      <c r="H317" s="74">
        <f>I309+I310+I313+I314+I315+SUM(I312:I312)</f>
        <v>11330.34</v>
      </c>
      <c r="I317" s="74"/>
      <c r="J317" s="74">
        <f>K309+K310+K313+K314+K315+SUM(K312:K312)</f>
        <v>178743.63</v>
      </c>
      <c r="K317" s="74"/>
      <c r="O317" s="28">
        <f>I309+I310+I313+I314+I315+SUM(I312:I312)</f>
        <v>11330.34</v>
      </c>
      <c r="P317" s="28">
        <f>K309+K310+K313+K314+K315+SUM(K312:K312)</f>
        <v>178743.63</v>
      </c>
      <c r="X317">
        <f>IF(Source!BI255&lt;=1,I309+I310+I313+I314+I315-0, 0)</f>
        <v>11330.34</v>
      </c>
      <c r="Y317">
        <f>IF(Source!BI255=2,I309+I310+I313+I314+I315-0, 0)</f>
        <v>0</v>
      </c>
      <c r="Z317">
        <f>IF(Source!BI255=3,I309+I310+I313+I314+I315-0, 0)</f>
        <v>0</v>
      </c>
      <c r="AA317">
        <f>IF(Source!BI255=4,I309+I310+I313+I314+I315,0)</f>
        <v>0</v>
      </c>
    </row>
    <row r="318" spans="1:30" ht="57" x14ac:dyDescent="0.2">
      <c r="A318" s="15" t="str">
        <f>Source!E257</f>
        <v>39</v>
      </c>
      <c r="B318" s="16" t="str">
        <f>Source!F257</f>
        <v>3.1-6-10</v>
      </c>
      <c r="C318" s="16" t="s">
        <v>43</v>
      </c>
      <c r="D318" s="18" t="str">
        <f>Source!H257</f>
        <v>100 м3 грунта</v>
      </c>
      <c r="E318" s="17">
        <f>Source!I257</f>
        <v>0.59150000000000003</v>
      </c>
      <c r="F318" s="20"/>
      <c r="G318" s="19"/>
      <c r="H318" s="17"/>
      <c r="I318" s="21"/>
      <c r="J318" s="17"/>
      <c r="K318" s="21"/>
      <c r="Q318">
        <f>ROUND((Source!DN257/100)*ROUND((ROUND((Source!AF257*Source!AV257*Source!I257),2)),2), 2)</f>
        <v>9.74</v>
      </c>
      <c r="R318">
        <f>Source!X257</f>
        <v>195.97</v>
      </c>
      <c r="S318">
        <f>ROUND((Source!DO257/100)*ROUND((ROUND((Source!AF257*Source!AV257*Source!I257),2)),2), 2)</f>
        <v>7.65</v>
      </c>
      <c r="T318">
        <f>Source!Y257</f>
        <v>106.51</v>
      </c>
      <c r="U318">
        <f>ROUND((175/100)*ROUND((ROUND((Source!AE257*Source!AV257*Source!I257),2)),2), 2)</f>
        <v>173.34</v>
      </c>
      <c r="V318">
        <f>ROUND((157/100)*ROUND(ROUND((ROUND((Source!AE257*Source!AV257*Source!I257),2)*Source!BS257),2), 2), 2)</f>
        <v>3332.54</v>
      </c>
    </row>
    <row r="319" spans="1:30" x14ac:dyDescent="0.2">
      <c r="C319" s="31" t="str">
        <f>"Объем: "&amp;Source!I257&amp;"=("&amp;Source!I250&amp;"+"&amp;""&amp;Source!I254&amp;")/"&amp;"100"</f>
        <v>Объем: 0,5915=(33,54986+25,6)/100</v>
      </c>
    </row>
    <row r="320" spans="1:30" ht="14.25" x14ac:dyDescent="0.2">
      <c r="A320" s="15"/>
      <c r="B320" s="16"/>
      <c r="C320" s="16" t="s">
        <v>479</v>
      </c>
      <c r="D320" s="18"/>
      <c r="E320" s="17"/>
      <c r="F320" s="20">
        <f>Source!AO257</f>
        <v>14.1</v>
      </c>
      <c r="G320" s="19" t="str">
        <f>Source!DG257</f>
        <v/>
      </c>
      <c r="H320" s="17">
        <f>Source!AV257</f>
        <v>1.1919999999999999</v>
      </c>
      <c r="I320" s="21">
        <f>ROUND((ROUND((Source!AF257*Source!AV257*Source!I257),2)),2)</f>
        <v>9.94</v>
      </c>
      <c r="J320" s="17">
        <f>IF(Source!BA257&lt;&gt; 0, Source!BA257, 1)</f>
        <v>21.43</v>
      </c>
      <c r="K320" s="21">
        <f>Source!S257</f>
        <v>213.01</v>
      </c>
      <c r="W320">
        <f>I320</f>
        <v>9.94</v>
      </c>
    </row>
    <row r="321" spans="1:27" ht="14.25" x14ac:dyDescent="0.2">
      <c r="A321" s="15"/>
      <c r="B321" s="16"/>
      <c r="C321" s="16" t="s">
        <v>480</v>
      </c>
      <c r="D321" s="18"/>
      <c r="E321" s="17"/>
      <c r="F321" s="20">
        <f>Source!AM257</f>
        <v>757.55</v>
      </c>
      <c r="G321" s="19" t="str">
        <f>Source!DE257</f>
        <v/>
      </c>
      <c r="H321" s="17">
        <f>Source!AV257</f>
        <v>1.1919999999999999</v>
      </c>
      <c r="I321" s="21">
        <f>(ROUND((ROUND(((Source!ET257)*Source!AV257*Source!I257),2)),2)+ROUND((ROUND(((Source!AE257-(Source!EU257))*Source!AV257*Source!I257),2)),2))</f>
        <v>534.12</v>
      </c>
      <c r="J321" s="17">
        <f>IF(Source!BB257&lt;&gt; 0, Source!BB257, 1)</f>
        <v>8.94</v>
      </c>
      <c r="K321" s="21">
        <f>Source!Q257</f>
        <v>4775.03</v>
      </c>
    </row>
    <row r="322" spans="1:27" ht="14.25" x14ac:dyDescent="0.2">
      <c r="A322" s="15"/>
      <c r="B322" s="16"/>
      <c r="C322" s="16" t="s">
        <v>481</v>
      </c>
      <c r="D322" s="18"/>
      <c r="E322" s="17"/>
      <c r="F322" s="20">
        <f>Source!AN257</f>
        <v>140.47999999999999</v>
      </c>
      <c r="G322" s="19" t="str">
        <f>Source!DF257</f>
        <v/>
      </c>
      <c r="H322" s="17">
        <f>Source!AV257</f>
        <v>1.1919999999999999</v>
      </c>
      <c r="I322" s="27">
        <f>ROUND((ROUND((Source!AE257*Source!AV257*Source!I257),2)),2)</f>
        <v>99.05</v>
      </c>
      <c r="J322" s="17">
        <f>IF(Source!BS257&lt;&gt; 0, Source!BS257, 1)</f>
        <v>21.43</v>
      </c>
      <c r="K322" s="27">
        <f>Source!R257</f>
        <v>2122.64</v>
      </c>
      <c r="W322">
        <f>I322</f>
        <v>99.05</v>
      </c>
    </row>
    <row r="323" spans="1:27" ht="14.25" x14ac:dyDescent="0.2">
      <c r="A323" s="15"/>
      <c r="B323" s="16"/>
      <c r="C323" s="16" t="s">
        <v>482</v>
      </c>
      <c r="D323" s="18" t="s">
        <v>483</v>
      </c>
      <c r="E323" s="17">
        <f>Source!DN257</f>
        <v>98</v>
      </c>
      <c r="F323" s="20"/>
      <c r="G323" s="19"/>
      <c r="H323" s="17"/>
      <c r="I323" s="21">
        <f>SUM(Q318:Q322)</f>
        <v>9.74</v>
      </c>
      <c r="J323" s="17">
        <f>Source!BZ257</f>
        <v>92</v>
      </c>
      <c r="K323" s="21">
        <f>SUM(R318:R322)</f>
        <v>195.97</v>
      </c>
    </row>
    <row r="324" spans="1:27" ht="14.25" x14ac:dyDescent="0.2">
      <c r="A324" s="15"/>
      <c r="B324" s="16"/>
      <c r="C324" s="16" t="s">
        <v>484</v>
      </c>
      <c r="D324" s="18" t="s">
        <v>483</v>
      </c>
      <c r="E324" s="17">
        <f>Source!DO257</f>
        <v>77</v>
      </c>
      <c r="F324" s="20"/>
      <c r="G324" s="19"/>
      <c r="H324" s="17"/>
      <c r="I324" s="21">
        <f>SUM(S318:S323)</f>
        <v>7.65</v>
      </c>
      <c r="J324" s="17">
        <f>Source!CA257</f>
        <v>50</v>
      </c>
      <c r="K324" s="21">
        <f>SUM(T318:T323)</f>
        <v>106.51</v>
      </c>
    </row>
    <row r="325" spans="1:27" ht="14.25" x14ac:dyDescent="0.2">
      <c r="A325" s="15"/>
      <c r="B325" s="16"/>
      <c r="C325" s="16" t="s">
        <v>485</v>
      </c>
      <c r="D325" s="18" t="s">
        <v>483</v>
      </c>
      <c r="E325" s="17">
        <f>175</f>
        <v>175</v>
      </c>
      <c r="F325" s="20"/>
      <c r="G325" s="19"/>
      <c r="H325" s="17"/>
      <c r="I325" s="21">
        <f>SUM(U318:U324)</f>
        <v>173.34</v>
      </c>
      <c r="J325" s="17">
        <f>157</f>
        <v>157</v>
      </c>
      <c r="K325" s="21">
        <f>SUM(V318:V324)</f>
        <v>3332.54</v>
      </c>
    </row>
    <row r="326" spans="1:27" ht="14.25" x14ac:dyDescent="0.2">
      <c r="A326" s="15"/>
      <c r="B326" s="16"/>
      <c r="C326" s="16" t="s">
        <v>486</v>
      </c>
      <c r="D326" s="18" t="s">
        <v>487</v>
      </c>
      <c r="E326" s="17">
        <f>Source!AQ257</f>
        <v>1.38</v>
      </c>
      <c r="F326" s="20"/>
      <c r="G326" s="19" t="str">
        <f>Source!DI257</f>
        <v/>
      </c>
      <c r="H326" s="17">
        <f>Source!AV257</f>
        <v>1.1919999999999999</v>
      </c>
      <c r="I326" s="21">
        <f>Source!U257</f>
        <v>0.97299383999999989</v>
      </c>
      <c r="J326" s="17"/>
      <c r="K326" s="21"/>
    </row>
    <row r="327" spans="1:27" ht="15" x14ac:dyDescent="0.25">
      <c r="A327" s="30"/>
      <c r="B327" s="30"/>
      <c r="C327" s="30"/>
      <c r="D327" s="30"/>
      <c r="E327" s="30"/>
      <c r="F327" s="30"/>
      <c r="G327" s="30"/>
      <c r="H327" s="74">
        <f>I320+I321+I323+I324+I325</f>
        <v>734.79000000000008</v>
      </c>
      <c r="I327" s="74"/>
      <c r="J327" s="74">
        <f>K320+K321+K323+K324+K325</f>
        <v>8623.0600000000013</v>
      </c>
      <c r="K327" s="74"/>
      <c r="O327" s="28">
        <f>I320+I321+I323+I324+I325</f>
        <v>734.79000000000008</v>
      </c>
      <c r="P327" s="28">
        <f>K320+K321+K323+K324+K325</f>
        <v>8623.0600000000013</v>
      </c>
      <c r="X327">
        <f>IF(Source!BI257&lt;=1,I320+I321+I323+I324+I325-0, 0)</f>
        <v>734.79000000000008</v>
      </c>
      <c r="Y327">
        <f>IF(Source!BI257=2,I320+I321+I323+I324+I325-0, 0)</f>
        <v>0</v>
      </c>
      <c r="Z327">
        <f>IF(Source!BI257=3,I320+I321+I323+I324+I325-0, 0)</f>
        <v>0</v>
      </c>
      <c r="AA327">
        <f>IF(Source!BI257=4,I320+I321+I323+I324+I325,0)</f>
        <v>0</v>
      </c>
    </row>
    <row r="328" spans="1:27" ht="42.75" x14ac:dyDescent="0.2">
      <c r="A328" s="15" t="str">
        <f>Source!E258</f>
        <v>40</v>
      </c>
      <c r="B328" s="16" t="str">
        <f>Source!F258</f>
        <v>15.1-50-2</v>
      </c>
      <c r="C328" s="16" t="s">
        <v>51</v>
      </c>
      <c r="D328" s="18" t="str">
        <f>Source!H258</f>
        <v>1 м3</v>
      </c>
      <c r="E328" s="17">
        <f>Source!I258</f>
        <v>59.15</v>
      </c>
      <c r="F328" s="20"/>
      <c r="G328" s="19"/>
      <c r="H328" s="17"/>
      <c r="I328" s="21"/>
      <c r="J328" s="17"/>
      <c r="K328" s="21"/>
      <c r="Q328">
        <f>ROUND((Source!DN258/100)*ROUND((ROUND((Source!AF258*Source!AV258*Source!I258),2)),2), 2)</f>
        <v>0</v>
      </c>
      <c r="R328">
        <f>Source!X258</f>
        <v>0</v>
      </c>
      <c r="S328">
        <f>ROUND((Source!DO258/100)*ROUND((ROUND((Source!AF258*Source!AV258*Source!I258),2)),2), 2)</f>
        <v>0</v>
      </c>
      <c r="T328">
        <f>Source!Y258</f>
        <v>0</v>
      </c>
      <c r="U328">
        <f>ROUND((175/100)*ROUND((ROUND((Source!AE258*Source!AV258*Source!I258),2)),2), 2)</f>
        <v>0</v>
      </c>
      <c r="V328">
        <f>ROUND((157/100)*ROUND(ROUND((ROUND((Source!AE258*Source!AV258*Source!I258),2)*Source!BS258),2), 2), 2)</f>
        <v>0</v>
      </c>
    </row>
    <row r="329" spans="1:27" x14ac:dyDescent="0.2">
      <c r="C329" s="31" t="str">
        <f>"Объем: "&amp;Source!I258&amp;"="&amp;Source!I257&amp;"*"&amp;"100"</f>
        <v>Объем: 59,15=0,5915*100</v>
      </c>
    </row>
    <row r="330" spans="1:27" ht="14.25" x14ac:dyDescent="0.2">
      <c r="A330" s="15"/>
      <c r="B330" s="16"/>
      <c r="C330" s="16" t="s">
        <v>480</v>
      </c>
      <c r="D330" s="18"/>
      <c r="E330" s="17"/>
      <c r="F330" s="20">
        <f>Source!AM258</f>
        <v>73.78</v>
      </c>
      <c r="G330" s="19" t="str">
        <f>Source!DE258</f>
        <v/>
      </c>
      <c r="H330" s="17">
        <f>Source!AV258</f>
        <v>1</v>
      </c>
      <c r="I330" s="21">
        <f>(ROUND((ROUND(((Source!ET258+(SUM(SmtRes!BD108:'SmtRes'!BD108)+SUM(EtalonRes!AM110:'EtalonRes'!AM110)))*Source!AV258*Source!I258),2)),2)+ROUND((ROUND(((Source!AE258-(Source!EU258))*Source!AV258*Source!I258),2)),2))</f>
        <v>2683.64</v>
      </c>
      <c r="J330" s="17">
        <f>IF(Source!BB258&lt;&gt; 0, Source!BB258, 1)</f>
        <v>9.5299999999999994</v>
      </c>
      <c r="K330" s="21">
        <f>Source!Q258</f>
        <v>25575.09</v>
      </c>
    </row>
    <row r="331" spans="1:27" ht="15" x14ac:dyDescent="0.25">
      <c r="A331" s="30"/>
      <c r="B331" s="30"/>
      <c r="C331" s="30"/>
      <c r="D331" s="30"/>
      <c r="E331" s="30"/>
      <c r="F331" s="30"/>
      <c r="G331" s="30"/>
      <c r="H331" s="74">
        <f>I330</f>
        <v>2683.64</v>
      </c>
      <c r="I331" s="74"/>
      <c r="J331" s="74">
        <f>K330</f>
        <v>25575.09</v>
      </c>
      <c r="K331" s="74"/>
      <c r="O331" s="28">
        <f>I330</f>
        <v>2683.64</v>
      </c>
      <c r="P331" s="28">
        <f>K330</f>
        <v>25575.09</v>
      </c>
      <c r="X331">
        <f>IF(Source!BI258&lt;=1,I330-0, 0)</f>
        <v>0</v>
      </c>
      <c r="Y331">
        <f>IF(Source!BI258=2,I330-0, 0)</f>
        <v>0</v>
      </c>
      <c r="Z331">
        <f>IF(Source!BI258=3,I330-0, 0)</f>
        <v>0</v>
      </c>
      <c r="AA331">
        <f>IF(Source!BI258=4,I330,0)</f>
        <v>2683.64</v>
      </c>
    </row>
    <row r="332" spans="1:27" ht="71.25" x14ac:dyDescent="0.2">
      <c r="A332" s="15" t="str">
        <f>Source!E259</f>
        <v>41</v>
      </c>
      <c r="B332" s="16" t="str">
        <f>Source!F259</f>
        <v>15.1-0-9</v>
      </c>
      <c r="C332" s="16" t="s">
        <v>59</v>
      </c>
      <c r="D332" s="18" t="str">
        <f>Source!H259</f>
        <v>1 Т</v>
      </c>
      <c r="E332" s="17">
        <f>Source!I259</f>
        <v>106.47</v>
      </c>
      <c r="F332" s="20"/>
      <c r="G332" s="19"/>
      <c r="H332" s="17"/>
      <c r="I332" s="21"/>
      <c r="J332" s="17"/>
      <c r="K332" s="21"/>
      <c r="Q332">
        <f>ROUND((Source!DN259/100)*ROUND((ROUND((Source!AF259*Source!AV259*Source!I259),2)),2), 2)</f>
        <v>0</v>
      </c>
      <c r="R332">
        <f>Source!X259</f>
        <v>0</v>
      </c>
      <c r="S332">
        <f>ROUND((Source!DO259/100)*ROUND((ROUND((Source!AF259*Source!AV259*Source!I259),2)),2), 2)</f>
        <v>0</v>
      </c>
      <c r="T332">
        <f>Source!Y259</f>
        <v>0</v>
      </c>
      <c r="U332">
        <f>ROUND((175/100)*ROUND((ROUND((Source!AE259*Source!AV259*Source!I259),2)),2), 2)</f>
        <v>0</v>
      </c>
      <c r="V332">
        <f>ROUND((157/100)*ROUND(ROUND((ROUND((Source!AE259*Source!AV259*Source!I259),2)*Source!BS259),2), 2), 2)</f>
        <v>0</v>
      </c>
    </row>
    <row r="333" spans="1:27" x14ac:dyDescent="0.2">
      <c r="C333" s="31" t="str">
        <f>"Объем: "&amp;Source!I259&amp;"="&amp;Source!I258&amp;"*"&amp;"1,8"</f>
        <v>Объем: 106,47=59,15*1,8</v>
      </c>
    </row>
    <row r="334" spans="1:27" ht="14.25" x14ac:dyDescent="0.2">
      <c r="A334" s="15"/>
      <c r="B334" s="16"/>
      <c r="C334" s="16" t="s">
        <v>480</v>
      </c>
      <c r="D334" s="18"/>
      <c r="E334" s="17"/>
      <c r="F334" s="20">
        <f>Source!AM259</f>
        <v>43.28</v>
      </c>
      <c r="G334" s="19" t="str">
        <f>Source!DE259</f>
        <v/>
      </c>
      <c r="H334" s="17">
        <f>Source!AV259</f>
        <v>1</v>
      </c>
      <c r="I334" s="21">
        <f>(ROUND((ROUND(((Source!ET259)*Source!AV259*Source!I259),2)),2)+ROUND((ROUND(((Source!AE259-(Source!EU259))*Source!AV259*Source!I259),2)),2))</f>
        <v>4608.0200000000004</v>
      </c>
      <c r="J334" s="17">
        <f>IF(Source!BB259&lt;&gt; 0, Source!BB259, 1)</f>
        <v>2.87</v>
      </c>
      <c r="K334" s="21">
        <f>Source!Q259</f>
        <v>13225.02</v>
      </c>
    </row>
    <row r="335" spans="1:27" ht="15" x14ac:dyDescent="0.25">
      <c r="A335" s="30"/>
      <c r="B335" s="30"/>
      <c r="C335" s="30"/>
      <c r="D335" s="30"/>
      <c r="E335" s="30"/>
      <c r="F335" s="30"/>
      <c r="G335" s="30"/>
      <c r="H335" s="74">
        <f>I334</f>
        <v>4608.0200000000004</v>
      </c>
      <c r="I335" s="74"/>
      <c r="J335" s="74">
        <f>K334</f>
        <v>13225.02</v>
      </c>
      <c r="K335" s="74"/>
      <c r="O335" s="28">
        <f>I334</f>
        <v>4608.0200000000004</v>
      </c>
      <c r="P335" s="28">
        <f>K334</f>
        <v>13225.02</v>
      </c>
      <c r="X335">
        <f>IF(Source!BI259&lt;=1,I334-0, 0)</f>
        <v>0</v>
      </c>
      <c r="Y335">
        <f>IF(Source!BI259=2,I334-0, 0)</f>
        <v>0</v>
      </c>
      <c r="Z335">
        <f>IF(Source!BI259=3,I334-0, 0)</f>
        <v>0</v>
      </c>
      <c r="AA335">
        <f>IF(Source!BI259=4,I334,0)</f>
        <v>4608.0200000000004</v>
      </c>
    </row>
    <row r="336" spans="1:27" ht="28.5" x14ac:dyDescent="0.2">
      <c r="A336" s="15" t="str">
        <f>Source!E260</f>
        <v>42</v>
      </c>
      <c r="B336" s="16" t="str">
        <f>Source!F260</f>
        <v>6.68-13-1</v>
      </c>
      <c r="C336" s="16" t="s">
        <v>245</v>
      </c>
      <c r="D336" s="18" t="str">
        <f>Source!H260</f>
        <v>1 Т</v>
      </c>
      <c r="E336" s="17">
        <f>Source!I260</f>
        <v>73.75</v>
      </c>
      <c r="F336" s="20"/>
      <c r="G336" s="19"/>
      <c r="H336" s="17"/>
      <c r="I336" s="21"/>
      <c r="J336" s="17"/>
      <c r="K336" s="21"/>
      <c r="Q336">
        <f>ROUND((Source!DN260/100)*ROUND((ROUND((Source!AF260*Source!AV260*Source!I260),2)),2), 2)</f>
        <v>0</v>
      </c>
      <c r="R336">
        <f>Source!X260</f>
        <v>0</v>
      </c>
      <c r="S336">
        <f>ROUND((Source!DO260/100)*ROUND((ROUND((Source!AF260*Source!AV260*Source!I260),2)),2), 2)</f>
        <v>0</v>
      </c>
      <c r="T336">
        <f>Source!Y260</f>
        <v>0</v>
      </c>
      <c r="U336">
        <f>ROUND((175/100)*ROUND((ROUND((Source!AE260*Source!AV260*Source!I260),2)),2), 2)</f>
        <v>219.99</v>
      </c>
      <c r="V336">
        <f>ROUND((157/100)*ROUND(ROUND((ROUND((Source!AE260*Source!AV260*Source!I260),2)*Source!BS260),2), 2), 2)</f>
        <v>4229.53</v>
      </c>
    </row>
    <row r="337" spans="1:27" ht="14.25" x14ac:dyDescent="0.2">
      <c r="A337" s="15"/>
      <c r="B337" s="16"/>
      <c r="C337" s="16" t="s">
        <v>480</v>
      </c>
      <c r="D337" s="18"/>
      <c r="E337" s="17"/>
      <c r="F337" s="20">
        <f>Source!AM260</f>
        <v>8.86</v>
      </c>
      <c r="G337" s="19" t="str">
        <f>Source!DE260</f>
        <v>*1,1</v>
      </c>
      <c r="H337" s="17">
        <f>Source!AV260</f>
        <v>1.0469999999999999</v>
      </c>
      <c r="I337" s="21">
        <f>(ROUND((ROUND((((Source!ET260*1.1))*Source!AV260*Source!I260),2)),2)+ROUND((ROUND(((Source!AE260-((Source!EU260*1.1)))*Source!AV260*Source!I260),2)),2))</f>
        <v>752.55</v>
      </c>
      <c r="J337" s="17">
        <f>IF(Source!BB260&lt;&gt; 0, Source!BB260, 1)</f>
        <v>7.96</v>
      </c>
      <c r="K337" s="21">
        <f>Source!Q260</f>
        <v>5990.3</v>
      </c>
    </row>
    <row r="338" spans="1:27" ht="14.25" x14ac:dyDescent="0.2">
      <c r="A338" s="15"/>
      <c r="B338" s="16"/>
      <c r="C338" s="16" t="s">
        <v>481</v>
      </c>
      <c r="D338" s="18"/>
      <c r="E338" s="17"/>
      <c r="F338" s="20">
        <f>Source!AN260</f>
        <v>1.48</v>
      </c>
      <c r="G338" s="19" t="str">
        <f>Source!DF260</f>
        <v>*1,1</v>
      </c>
      <c r="H338" s="17">
        <f>Source!AV260</f>
        <v>1.0469999999999999</v>
      </c>
      <c r="I338" s="27">
        <f>ROUND((ROUND((Source!AE260*Source!AV260*Source!I260),2)),2)</f>
        <v>125.71</v>
      </c>
      <c r="J338" s="17">
        <f>IF(Source!BS260&lt;&gt; 0, Source!BS260, 1)</f>
        <v>21.43</v>
      </c>
      <c r="K338" s="27">
        <f>Source!R260</f>
        <v>2693.97</v>
      </c>
      <c r="W338">
        <f>I338</f>
        <v>125.71</v>
      </c>
    </row>
    <row r="339" spans="1:27" ht="14.25" x14ac:dyDescent="0.2">
      <c r="A339" s="15"/>
      <c r="B339" s="16"/>
      <c r="C339" s="16" t="s">
        <v>485</v>
      </c>
      <c r="D339" s="18" t="s">
        <v>483</v>
      </c>
      <c r="E339" s="17">
        <f>175</f>
        <v>175</v>
      </c>
      <c r="F339" s="20"/>
      <c r="G339" s="19"/>
      <c r="H339" s="17"/>
      <c r="I339" s="21">
        <f>SUM(U336:U338)</f>
        <v>219.99</v>
      </c>
      <c r="J339" s="17">
        <f>157</f>
        <v>157</v>
      </c>
      <c r="K339" s="21">
        <f>SUM(V336:V338)</f>
        <v>4229.53</v>
      </c>
    </row>
    <row r="340" spans="1:27" ht="15" x14ac:dyDescent="0.25">
      <c r="A340" s="30"/>
      <c r="B340" s="30"/>
      <c r="C340" s="30"/>
      <c r="D340" s="30"/>
      <c r="E340" s="30"/>
      <c r="F340" s="30"/>
      <c r="G340" s="30"/>
      <c r="H340" s="74">
        <f>I337+I339</f>
        <v>972.54</v>
      </c>
      <c r="I340" s="74"/>
      <c r="J340" s="74">
        <f>K337+K339</f>
        <v>10219.83</v>
      </c>
      <c r="K340" s="74"/>
      <c r="O340" s="28">
        <f>I337+I339</f>
        <v>972.54</v>
      </c>
      <c r="P340" s="28">
        <f>K337+K339</f>
        <v>10219.83</v>
      </c>
      <c r="X340">
        <f>IF(Source!BI260&lt;=1,I337+I339-0, 0)</f>
        <v>972.54</v>
      </c>
      <c r="Y340">
        <f>IF(Source!BI260=2,I337+I339-0, 0)</f>
        <v>0</v>
      </c>
      <c r="Z340">
        <f>IF(Source!BI260=3,I337+I339-0, 0)</f>
        <v>0</v>
      </c>
      <c r="AA340">
        <f>IF(Source!BI260=4,I337+I339,0)</f>
        <v>0</v>
      </c>
    </row>
    <row r="341" spans="1:27" ht="42.75" x14ac:dyDescent="0.2">
      <c r="A341" s="15" t="str">
        <f>Source!E261</f>
        <v>43</v>
      </c>
      <c r="B341" s="16" t="str">
        <f>Source!F261</f>
        <v>15.1-26-11</v>
      </c>
      <c r="C341" s="16" t="s">
        <v>64</v>
      </c>
      <c r="D341" s="18" t="str">
        <f>Source!H261</f>
        <v>1 Т</v>
      </c>
      <c r="E341" s="17">
        <f>Source!I261</f>
        <v>74.221000000000004</v>
      </c>
      <c r="F341" s="20"/>
      <c r="G341" s="19"/>
      <c r="H341" s="17"/>
      <c r="I341" s="21"/>
      <c r="J341" s="17"/>
      <c r="K341" s="21"/>
      <c r="Q341">
        <f>ROUND((Source!DN261/100)*ROUND((ROUND((Source!AF261*Source!AV261*Source!I261),2)),2), 2)</f>
        <v>0</v>
      </c>
      <c r="R341">
        <f>Source!X261</f>
        <v>0</v>
      </c>
      <c r="S341">
        <f>ROUND((Source!DO261/100)*ROUND((ROUND((Source!AF261*Source!AV261*Source!I261),2)),2), 2)</f>
        <v>0</v>
      </c>
      <c r="T341">
        <f>Source!Y261</f>
        <v>0</v>
      </c>
      <c r="U341">
        <f>ROUND((175/100)*ROUND((ROUND((Source!AE261*Source!AV261*Source!I261),2)),2), 2)</f>
        <v>0</v>
      </c>
      <c r="V341">
        <f>ROUND((157/100)*ROUND(ROUND((ROUND((Source!AE261*Source!AV261*Source!I261),2)*Source!BS261),2), 2), 2)</f>
        <v>0</v>
      </c>
    </row>
    <row r="342" spans="1:27" x14ac:dyDescent="0.2">
      <c r="C342" s="31" t="str">
        <f>"Объем: "&amp;Source!I261&amp;"="&amp;Source!I249&amp;"+"&amp;""&amp;Source!I256&amp;""</f>
        <v>Объем: 74,221=0,471072+73,75</v>
      </c>
    </row>
    <row r="343" spans="1:27" ht="14.25" x14ac:dyDescent="0.2">
      <c r="A343" s="15"/>
      <c r="B343" s="16"/>
      <c r="C343" s="16" t="s">
        <v>480</v>
      </c>
      <c r="D343" s="18"/>
      <c r="E343" s="17"/>
      <c r="F343" s="20">
        <f>Source!AM261</f>
        <v>27.91</v>
      </c>
      <c r="G343" s="19" t="str">
        <f>Source!DE261</f>
        <v/>
      </c>
      <c r="H343" s="17">
        <f>Source!AV261</f>
        <v>1</v>
      </c>
      <c r="I343" s="21">
        <f>(ROUND((ROUND(((Source!ET261)*Source!AV261*Source!I261),2)),2)+ROUND((ROUND(((Source!AE261-(Source!EU261))*Source!AV261*Source!I261),2)),2))</f>
        <v>2071.5100000000002</v>
      </c>
      <c r="J343" s="17">
        <f>IF(Source!BB261&lt;&gt; 0, Source!BB261, 1)</f>
        <v>8.66</v>
      </c>
      <c r="K343" s="21">
        <f>Source!Q261</f>
        <v>17939.28</v>
      </c>
    </row>
    <row r="344" spans="1:27" ht="15" x14ac:dyDescent="0.25">
      <c r="A344" s="30"/>
      <c r="B344" s="30"/>
      <c r="C344" s="30"/>
      <c r="D344" s="30"/>
      <c r="E344" s="30"/>
      <c r="F344" s="30"/>
      <c r="G344" s="30"/>
      <c r="H344" s="74">
        <f>I343</f>
        <v>2071.5100000000002</v>
      </c>
      <c r="I344" s="74"/>
      <c r="J344" s="74">
        <f>K343</f>
        <v>17939.28</v>
      </c>
      <c r="K344" s="74"/>
      <c r="O344" s="28">
        <f>I343</f>
        <v>2071.5100000000002</v>
      </c>
      <c r="P344" s="28">
        <f>K343</f>
        <v>17939.28</v>
      </c>
      <c r="X344">
        <f>IF(Source!BI261&lt;=1,I343-0, 0)</f>
        <v>0</v>
      </c>
      <c r="Y344">
        <f>IF(Source!BI261=2,I343-0, 0)</f>
        <v>0</v>
      </c>
      <c r="Z344">
        <f>IF(Source!BI261=3,I343-0, 0)</f>
        <v>0</v>
      </c>
      <c r="AA344">
        <f>IF(Source!BI261=4,I343,0)</f>
        <v>2071.5100000000002</v>
      </c>
    </row>
    <row r="345" spans="1:27" ht="14.25" x14ac:dyDescent="0.2">
      <c r="A345" s="15" t="str">
        <f>Source!E262</f>
        <v>44</v>
      </c>
      <c r="B345" s="16" t="str">
        <f>Source!F262</f>
        <v>15.1-0-1</v>
      </c>
      <c r="C345" s="16" t="s">
        <v>70</v>
      </c>
      <c r="D345" s="18" t="str">
        <f>Source!H262</f>
        <v>1 Т</v>
      </c>
      <c r="E345" s="17">
        <f>Source!I262</f>
        <v>74.221000000000004</v>
      </c>
      <c r="F345" s="20"/>
      <c r="G345" s="19"/>
      <c r="H345" s="17"/>
      <c r="I345" s="21"/>
      <c r="J345" s="17"/>
      <c r="K345" s="21"/>
      <c r="Q345">
        <f>ROUND((Source!DN262/100)*ROUND((ROUND((Source!AF262*Source!AV262*Source!I262),2)),2), 2)</f>
        <v>0</v>
      </c>
      <c r="R345">
        <f>Source!X262</f>
        <v>0</v>
      </c>
      <c r="S345">
        <f>ROUND((Source!DO262/100)*ROUND((ROUND((Source!AF262*Source!AV262*Source!I262),2)),2), 2)</f>
        <v>0</v>
      </c>
      <c r="T345">
        <f>Source!Y262</f>
        <v>0</v>
      </c>
      <c r="U345">
        <f>ROUND((175/100)*ROUND((ROUND((Source!AE262*Source!AV262*Source!I262),2)),2), 2)</f>
        <v>0</v>
      </c>
      <c r="V345">
        <f>ROUND((157/100)*ROUND(ROUND((ROUND((Source!AE262*Source!AV262*Source!I262),2)*Source!BS262),2), 2), 2)</f>
        <v>0</v>
      </c>
    </row>
    <row r="346" spans="1:27" x14ac:dyDescent="0.2">
      <c r="C346" s="31" t="str">
        <f>"Объем: "&amp;Source!I262&amp;"="&amp;Source!I249&amp;"+"&amp;""&amp;Source!I256&amp;""</f>
        <v>Объем: 74,221=0,471072+73,75</v>
      </c>
    </row>
    <row r="347" spans="1:27" ht="14.25" x14ac:dyDescent="0.2">
      <c r="A347" s="15"/>
      <c r="B347" s="16"/>
      <c r="C347" s="16" t="s">
        <v>480</v>
      </c>
      <c r="D347" s="18"/>
      <c r="E347" s="17"/>
      <c r="F347" s="20">
        <f>Source!AM262</f>
        <v>101</v>
      </c>
      <c r="G347" s="19" t="str">
        <f>Source!DE262</f>
        <v/>
      </c>
      <c r="H347" s="17">
        <f>Source!AV262</f>
        <v>1</v>
      </c>
      <c r="I347" s="21">
        <f>(ROUND((ROUND(((Source!ET262)*Source!AV262*Source!I262),2)),2)+ROUND((ROUND(((Source!AE262-(Source!EU262))*Source!AV262*Source!I262),2)),2))</f>
        <v>7496.32</v>
      </c>
      <c r="J347" s="17">
        <f>IF(Source!BB262&lt;&gt; 0, Source!BB262, 1)</f>
        <v>2.14</v>
      </c>
      <c r="K347" s="21">
        <f>Source!Q262</f>
        <v>16042.12</v>
      </c>
    </row>
    <row r="348" spans="1:27" ht="15" x14ac:dyDescent="0.25">
      <c r="A348" s="30"/>
      <c r="B348" s="30"/>
      <c r="C348" s="30"/>
      <c r="D348" s="30"/>
      <c r="E348" s="30"/>
      <c r="F348" s="30"/>
      <c r="G348" s="30"/>
      <c r="H348" s="74">
        <f>I347</f>
        <v>7496.32</v>
      </c>
      <c r="I348" s="74"/>
      <c r="J348" s="74">
        <f>K347</f>
        <v>16042.12</v>
      </c>
      <c r="K348" s="74"/>
      <c r="O348" s="28">
        <f>I347</f>
        <v>7496.32</v>
      </c>
      <c r="P348" s="28">
        <f>K347</f>
        <v>16042.12</v>
      </c>
      <c r="X348">
        <f>IF(Source!BI262&lt;=1,I347-0, 0)</f>
        <v>0</v>
      </c>
      <c r="Y348">
        <f>IF(Source!BI262=2,I347-0, 0)</f>
        <v>0</v>
      </c>
      <c r="Z348">
        <f>IF(Source!BI262=3,I347-0, 0)</f>
        <v>0</v>
      </c>
      <c r="AA348">
        <f>IF(Source!BI262=4,I347,0)</f>
        <v>7496.32</v>
      </c>
    </row>
    <row r="350" spans="1:27" ht="15" x14ac:dyDescent="0.25">
      <c r="A350" s="76" t="str">
        <f>CONCATENATE("Итого по разделу: ",IF(Source!G264&lt;&gt;"Новый раздел", Source!G264, ""))</f>
        <v>Итого по разделу: КАМЕРА БАЙПАСА 3,2*3,2*2,0  - 2шт</v>
      </c>
      <c r="B350" s="76"/>
      <c r="C350" s="76"/>
      <c r="D350" s="76"/>
      <c r="E350" s="76"/>
      <c r="F350" s="76"/>
      <c r="G350" s="76"/>
      <c r="H350" s="61">
        <f>SUM(O279:O349)</f>
        <v>420669.59</v>
      </c>
      <c r="I350" s="75"/>
      <c r="J350" s="61">
        <f>SUM(P279:P349)</f>
        <v>2705225.6999999993</v>
      </c>
      <c r="K350" s="75"/>
    </row>
    <row r="351" spans="1:27" ht="15" x14ac:dyDescent="0.25">
      <c r="A351" s="76" t="s">
        <v>488</v>
      </c>
      <c r="B351" s="76"/>
      <c r="C351" s="76"/>
      <c r="D351" s="76"/>
      <c r="E351" s="76"/>
      <c r="F351" s="76"/>
      <c r="G351" s="76"/>
      <c r="H351" s="61">
        <f>SUM(AC279:AC350)</f>
        <v>390772.43</v>
      </c>
      <c r="I351" s="75"/>
      <c r="J351" s="61">
        <f>SUM(AD279:AD350)</f>
        <v>2434857.6699999995</v>
      </c>
      <c r="K351" s="75"/>
    </row>
    <row r="352" spans="1:27" hidden="1" x14ac:dyDescent="0.2">
      <c r="A352" t="s">
        <v>489</v>
      </c>
      <c r="I352">
        <f>SUM(AE279:AE351)</f>
        <v>0</v>
      </c>
      <c r="J352">
        <f>SUM(AF279:AF351)</f>
        <v>0</v>
      </c>
    </row>
    <row r="354" spans="1:38" ht="16.5" x14ac:dyDescent="0.25">
      <c r="A354" s="73" t="str">
        <f>CONCATENATE("Раздел: ",IF(Source!G293&lt;&gt;"Новый раздел", Source!G293, ""))</f>
        <v>Раздел: Цена возможной реализации (Приказ МКЭ-ОД/17-76 от 21.12.2017)</v>
      </c>
      <c r="B354" s="73"/>
      <c r="C354" s="73"/>
      <c r="D354" s="73"/>
      <c r="E354" s="73"/>
      <c r="F354" s="73"/>
      <c r="G354" s="73"/>
      <c r="H354" s="73"/>
      <c r="I354" s="73"/>
      <c r="J354" s="73"/>
      <c r="K354" s="73"/>
    </row>
    <row r="355" spans="1:38" ht="42.75" x14ac:dyDescent="0.2">
      <c r="A355" s="15" t="str">
        <f>Source!E297</f>
        <v>45</v>
      </c>
      <c r="B355" s="16" t="str">
        <f>Source!F297</f>
        <v>1.7-11-61</v>
      </c>
      <c r="C355" s="16" t="s">
        <v>505</v>
      </c>
      <c r="D355" s="18" t="str">
        <f>Source!H297</f>
        <v>т</v>
      </c>
      <c r="E355" s="17">
        <f>Source!I297</f>
        <v>7.6319999999999997</v>
      </c>
      <c r="F355" s="20">
        <f>Source!AL297</f>
        <v>1853.64</v>
      </c>
      <c r="G355" s="19" t="str">
        <f>Source!DD297</f>
        <v/>
      </c>
      <c r="H355" s="17">
        <f>Source!AW297</f>
        <v>1</v>
      </c>
      <c r="I355" s="21">
        <f>ROUND((ROUND((Source!AC297*Source!I297),2)),2)</f>
        <v>14146.98</v>
      </c>
      <c r="J355" s="17">
        <f>IF(Source!BC297&lt;&gt; 0, Source!BC297, 1)</f>
        <v>6.17</v>
      </c>
      <c r="K355" s="21">
        <f>Source!T297</f>
        <v>87286.87</v>
      </c>
      <c r="Q355">
        <f>ROUND((Source!DN297/100)*ROUND(0*Source!I297, 2), 2)</f>
        <v>0</v>
      </c>
      <c r="R355">
        <f>Source!X297</f>
        <v>0</v>
      </c>
      <c r="S355">
        <f>ROUND((Source!DO297/100)*ROUND(0*Source!I297, 2), 2)</f>
        <v>0</v>
      </c>
      <c r="T355">
        <f>Source!Y297</f>
        <v>0</v>
      </c>
      <c r="U355">
        <f>ROUND((175/100)*ROUND(0*Source!I297, 2), 2)</f>
        <v>0</v>
      </c>
      <c r="V355">
        <f>ROUND((157/100)*ROUND(Source!CS297*Source!I297, 2), 2)</f>
        <v>0</v>
      </c>
      <c r="AE355" s="28">
        <f>I355</f>
        <v>14146.98</v>
      </c>
      <c r="AF355" s="28">
        <f>K355</f>
        <v>87286.87</v>
      </c>
    </row>
    <row r="356" spans="1:38" ht="15" x14ac:dyDescent="0.25">
      <c r="A356" s="30"/>
      <c r="B356" s="30"/>
      <c r="C356" s="30"/>
      <c r="D356" s="30"/>
      <c r="E356" s="30"/>
      <c r="F356" s="30"/>
      <c r="G356" s="30"/>
      <c r="H356" s="74">
        <f>I355</f>
        <v>14146.98</v>
      </c>
      <c r="I356" s="74"/>
      <c r="J356" s="74">
        <f>K355</f>
        <v>87286.87</v>
      </c>
      <c r="K356" s="74"/>
    </row>
    <row r="357" spans="1:38" ht="14.25" x14ac:dyDescent="0.2">
      <c r="A357" s="15" t="str">
        <f>Source!E298</f>
        <v>46</v>
      </c>
      <c r="B357" s="16" t="str">
        <f>Source!F298</f>
        <v>Лом</v>
      </c>
      <c r="C357" s="16"/>
      <c r="D357" s="18" t="str">
        <f>Source!H298</f>
        <v>т</v>
      </c>
      <c r="E357" s="17">
        <f>Source!I298</f>
        <v>7.6319999999999997</v>
      </c>
      <c r="F357" s="20"/>
      <c r="G357" s="19"/>
      <c r="H357" s="17"/>
      <c r="I357" s="21"/>
      <c r="J357" s="17"/>
      <c r="K357" s="21"/>
      <c r="Q357">
        <f>ROUND((Source!DN298/100)*ROUND((ROUND((Source!AF298*Source!AV298*Source!I298),2)),2), 2)</f>
        <v>0</v>
      </c>
      <c r="R357">
        <f>Source!X298</f>
        <v>0</v>
      </c>
      <c r="S357">
        <f>ROUND((Source!DO298/100)*ROUND((ROUND((Source!AF298*Source!AV298*Source!I298),2)),2), 2)</f>
        <v>0</v>
      </c>
      <c r="T357">
        <f>Source!Y298</f>
        <v>0</v>
      </c>
      <c r="U357">
        <f>ROUND((175/100)*ROUND((ROUND((Source!AE298*Source!AV298*Source!I298),2)),2), 2)</f>
        <v>0</v>
      </c>
      <c r="V357">
        <f>ROUND((157/100)*ROUND(ROUND((ROUND((Source!AE298*Source!AV298*Source!I298),2)*Source!BS298),2), 2), 2)</f>
        <v>0</v>
      </c>
    </row>
    <row r="358" spans="1:38" x14ac:dyDescent="0.2">
      <c r="C358" s="31" t="str">
        <f>"Объем: "&amp;Source!I298&amp;"="&amp;Source!I205&amp;"+"&amp;""&amp;Source!I206&amp;"+"&amp;""&amp;Source!I210&amp;""</f>
        <v>Объем: 7,632=0,514+5,873+1,244775</v>
      </c>
    </row>
    <row r="359" spans="1:38" ht="15" x14ac:dyDescent="0.25">
      <c r="A359" s="30"/>
      <c r="B359" s="30"/>
      <c r="C359" s="30"/>
      <c r="D359" s="30"/>
      <c r="E359" s="30"/>
      <c r="F359" s="30"/>
      <c r="G359" s="30"/>
      <c r="H359" s="74">
        <f>I357</f>
        <v>0</v>
      </c>
      <c r="I359" s="74"/>
      <c r="J359" s="74">
        <f>K357</f>
        <v>0</v>
      </c>
      <c r="K359" s="74"/>
      <c r="O359" s="28">
        <f>I357</f>
        <v>0</v>
      </c>
      <c r="P359" s="28">
        <f>K357</f>
        <v>0</v>
      </c>
      <c r="X359">
        <f>IF(Source!BI298&lt;=1,I357-0, 0)</f>
        <v>0</v>
      </c>
      <c r="Y359">
        <f>IF(Source!BI298=2,I357-0, 0)</f>
        <v>0</v>
      </c>
      <c r="Z359">
        <f>IF(Source!BI298=3,I357-0, 0)</f>
        <v>0</v>
      </c>
      <c r="AA359">
        <f>IF(Source!BI298=4,I357,0)</f>
        <v>0</v>
      </c>
    </row>
    <row r="361" spans="1:38" ht="15" x14ac:dyDescent="0.25">
      <c r="A361" s="76" t="str">
        <f>CONCATENATE("Итого по разделу: ",IF(Source!G300&lt;&gt;"Новый раздел", Source!G300, ""))</f>
        <v>Итого по разделу: Цена возможной реализации (Приказ МКЭ-ОД/17-76 от 21.12.2017)</v>
      </c>
      <c r="B361" s="76"/>
      <c r="C361" s="76"/>
      <c r="D361" s="76"/>
      <c r="E361" s="76"/>
      <c r="F361" s="76"/>
      <c r="G361" s="76"/>
      <c r="H361" s="61">
        <f>SUM(O354:O360)</f>
        <v>0</v>
      </c>
      <c r="I361" s="75"/>
      <c r="J361" s="61">
        <f>SUM(P354:P360)</f>
        <v>0</v>
      </c>
      <c r="K361" s="75"/>
      <c r="AL361" s="33" t="str">
        <f>CONCATENATE("Итого по разделу: ",IF(Source!G300&lt;&gt;"Новый раздел", Source!G300, ""))</f>
        <v>Итого по разделу: Цена возможной реализации (Приказ МКЭ-ОД/17-76 от 21.12.2017)</v>
      </c>
    </row>
    <row r="362" spans="1:38" hidden="1" x14ac:dyDescent="0.2">
      <c r="A362" t="s">
        <v>488</v>
      </c>
      <c r="I362">
        <f>SUM(AC354:AC361)</f>
        <v>0</v>
      </c>
      <c r="J362">
        <f>SUM(AD354:AD361)</f>
        <v>0</v>
      </c>
    </row>
    <row r="363" spans="1:38" ht="15" hidden="1" x14ac:dyDescent="0.25">
      <c r="A363" s="76" t="s">
        <v>489</v>
      </c>
      <c r="B363" s="76"/>
      <c r="C363" s="76"/>
      <c r="D363" s="76"/>
      <c r="E363" s="76"/>
      <c r="F363" s="76"/>
      <c r="G363" s="76"/>
      <c r="H363" s="61">
        <f>SUM(AE354:AE362)</f>
        <v>14146.98</v>
      </c>
      <c r="I363" s="75"/>
      <c r="J363" s="61">
        <f>SUM(AF354:AF362)</f>
        <v>87286.87</v>
      </c>
      <c r="K363" s="75"/>
    </row>
    <row r="365" spans="1:38" ht="15" x14ac:dyDescent="0.25">
      <c r="A365" s="76" t="str">
        <f>CONCATENATE("Итого по локальной смете: ",IF(Source!G329&lt;&gt;"Новая локальная смета", Source!G329, ""))</f>
        <v xml:space="preserve">Итого по локальной смете: </v>
      </c>
      <c r="B365" s="76"/>
      <c r="C365" s="76"/>
      <c r="D365" s="76"/>
      <c r="E365" s="76"/>
      <c r="F365" s="76"/>
      <c r="G365" s="76"/>
      <c r="H365" s="61">
        <f>SUM(O25:O364)</f>
        <v>1129164.3900000001</v>
      </c>
      <c r="I365" s="75"/>
      <c r="J365" s="61">
        <f>SUM(P25:P364)</f>
        <v>8451636.6599999983</v>
      </c>
      <c r="K365" s="75"/>
    </row>
    <row r="366" spans="1:38" ht="15" hidden="1" x14ac:dyDescent="0.25">
      <c r="A366" s="76" t="s">
        <v>488</v>
      </c>
      <c r="B366" s="76"/>
      <c r="C366" s="76"/>
      <c r="D366" s="76"/>
      <c r="E366" s="76"/>
      <c r="F366" s="76"/>
      <c r="G366" s="76"/>
      <c r="H366" s="61">
        <f>SUM(AC25:AC365)</f>
        <v>1004738.51</v>
      </c>
      <c r="I366" s="75"/>
      <c r="J366" s="61">
        <f>SUM(AD25:AD365)</f>
        <v>7491531.9399999995</v>
      </c>
      <c r="K366" s="75"/>
    </row>
    <row r="367" spans="1:38" ht="15" hidden="1" x14ac:dyDescent="0.25">
      <c r="A367" s="76" t="s">
        <v>489</v>
      </c>
      <c r="B367" s="76"/>
      <c r="C367" s="76"/>
      <c r="D367" s="76"/>
      <c r="E367" s="76"/>
      <c r="F367" s="76"/>
      <c r="G367" s="76"/>
      <c r="H367" s="61">
        <f>SUM(AE25:AE366)</f>
        <v>14146.98</v>
      </c>
      <c r="I367" s="75"/>
      <c r="J367" s="61">
        <f>SUM(AF25:AF366)</f>
        <v>87286.87</v>
      </c>
      <c r="K367" s="75"/>
    </row>
    <row r="368" spans="1:38" ht="15" x14ac:dyDescent="0.25">
      <c r="A368" s="68" t="s">
        <v>509</v>
      </c>
      <c r="B368" s="68"/>
      <c r="C368" s="68"/>
      <c r="D368" s="68"/>
      <c r="E368" s="68"/>
      <c r="F368" s="68"/>
      <c r="G368" s="68"/>
      <c r="H368" s="29"/>
      <c r="I368" s="32"/>
      <c r="J368" s="29"/>
      <c r="K368" s="32"/>
    </row>
    <row r="369" spans="1:11" ht="14.25" x14ac:dyDescent="0.2">
      <c r="A369" s="41"/>
      <c r="B369" s="41"/>
      <c r="C369" s="54" t="s">
        <v>46</v>
      </c>
      <c r="D369" s="54"/>
      <c r="E369" s="54"/>
      <c r="F369" s="54"/>
      <c r="G369" s="54"/>
      <c r="H369" s="54"/>
      <c r="I369" s="54"/>
      <c r="J369" s="55">
        <f>ROUND(J15*1000,2)</f>
        <v>7102194.3899999997</v>
      </c>
      <c r="K369" s="55"/>
    </row>
    <row r="370" spans="1:11" ht="14.25" x14ac:dyDescent="0.2">
      <c r="A370" s="41"/>
      <c r="B370" s="41"/>
      <c r="C370" s="54" t="s">
        <v>453</v>
      </c>
      <c r="D370" s="54"/>
      <c r="E370" s="54"/>
      <c r="F370" s="54"/>
      <c r="G370" s="54"/>
      <c r="H370" s="54"/>
      <c r="I370" s="54"/>
      <c r="J370" s="55">
        <f t="shared" ref="J370:J372" si="0">ROUND(J16*1000,2)</f>
        <v>0</v>
      </c>
      <c r="K370" s="55"/>
    </row>
    <row r="371" spans="1:11" ht="14.25" x14ac:dyDescent="0.2">
      <c r="A371" s="41"/>
      <c r="B371" s="41"/>
      <c r="C371" s="54" t="s">
        <v>454</v>
      </c>
      <c r="D371" s="54"/>
      <c r="E371" s="54"/>
      <c r="F371" s="54"/>
      <c r="G371" s="54"/>
      <c r="H371" s="54"/>
      <c r="I371" s="54"/>
      <c r="J371" s="55">
        <f t="shared" si="0"/>
        <v>963789.24</v>
      </c>
      <c r="K371" s="55"/>
    </row>
    <row r="372" spans="1:11" ht="14.25" x14ac:dyDescent="0.2">
      <c r="A372" s="41"/>
      <c r="B372" s="41"/>
      <c r="C372" s="54" t="s">
        <v>108</v>
      </c>
      <c r="D372" s="54"/>
      <c r="E372" s="54"/>
      <c r="F372" s="54"/>
      <c r="G372" s="54"/>
      <c r="H372" s="54"/>
      <c r="I372" s="54"/>
      <c r="J372" s="55">
        <f t="shared" si="0"/>
        <v>385653.03</v>
      </c>
      <c r="K372" s="55"/>
    </row>
    <row r="373" spans="1:11" ht="14.25" x14ac:dyDescent="0.2">
      <c r="A373" s="41"/>
      <c r="B373" s="41"/>
      <c r="C373" s="54" t="s">
        <v>510</v>
      </c>
      <c r="D373" s="54"/>
      <c r="E373" s="54"/>
      <c r="F373" s="54"/>
      <c r="G373" s="54"/>
      <c r="H373" s="54"/>
      <c r="I373" s="54"/>
      <c r="J373" s="55">
        <f>ROUND((J369+J370)*1.5%,2)</f>
        <v>106532.92</v>
      </c>
      <c r="K373" s="55"/>
    </row>
    <row r="374" spans="1:11" ht="15" x14ac:dyDescent="0.25">
      <c r="A374" s="42"/>
      <c r="B374" s="42"/>
      <c r="C374" s="60" t="s">
        <v>511</v>
      </c>
      <c r="D374" s="60"/>
      <c r="E374" s="60"/>
      <c r="F374" s="60"/>
      <c r="G374" s="60"/>
      <c r="H374" s="60"/>
      <c r="I374" s="60"/>
      <c r="J374" s="62">
        <f>ROUND(J365+J373,2)</f>
        <v>8558169.5800000001</v>
      </c>
      <c r="K374" s="62"/>
    </row>
    <row r="375" spans="1:11" ht="14.25" x14ac:dyDescent="0.2">
      <c r="A375" s="41"/>
      <c r="B375" s="41"/>
      <c r="C375" s="54" t="s">
        <v>512</v>
      </c>
      <c r="D375" s="54"/>
      <c r="E375" s="54"/>
      <c r="F375" s="54"/>
      <c r="G375" s="54"/>
      <c r="H375" s="54"/>
      <c r="I375" s="54"/>
      <c r="J375" s="55">
        <f>ROUND(J374*3%,2)</f>
        <v>256745.09</v>
      </c>
      <c r="K375" s="55"/>
    </row>
    <row r="376" spans="1:11" ht="15" x14ac:dyDescent="0.25">
      <c r="A376" s="42"/>
      <c r="B376" s="42"/>
      <c r="C376" s="60" t="s">
        <v>513</v>
      </c>
      <c r="D376" s="60"/>
      <c r="E376" s="60"/>
      <c r="F376" s="60"/>
      <c r="G376" s="60"/>
      <c r="H376" s="60"/>
      <c r="I376" s="60"/>
      <c r="J376" s="61">
        <f>J374+J375</f>
        <v>8814914.6699999999</v>
      </c>
      <c r="K376" s="61"/>
    </row>
    <row r="377" spans="1:11" ht="14.25" x14ac:dyDescent="0.2">
      <c r="A377" s="41"/>
      <c r="B377" s="41"/>
      <c r="C377" s="54" t="s">
        <v>46</v>
      </c>
      <c r="D377" s="54"/>
      <c r="E377" s="54"/>
      <c r="F377" s="54"/>
      <c r="G377" s="54"/>
      <c r="H377" s="54"/>
      <c r="I377" s="54"/>
      <c r="J377" s="55">
        <f>ROUND(J369*1.015*1.03,2)</f>
        <v>7424989.1299999999</v>
      </c>
      <c r="K377" s="55"/>
    </row>
    <row r="378" spans="1:11" ht="14.25" x14ac:dyDescent="0.2">
      <c r="A378" s="41"/>
      <c r="B378" s="41"/>
      <c r="C378" s="54" t="s">
        <v>453</v>
      </c>
      <c r="D378" s="54"/>
      <c r="E378" s="54"/>
      <c r="F378" s="54"/>
      <c r="G378" s="54"/>
      <c r="H378" s="54"/>
      <c r="I378" s="54"/>
      <c r="J378" s="55">
        <f>ROUND(J370*1.015*1.03,2)</f>
        <v>0</v>
      </c>
      <c r="K378" s="55"/>
    </row>
    <row r="379" spans="1:11" ht="14.25" x14ac:dyDescent="0.2">
      <c r="A379" s="41"/>
      <c r="B379" s="41"/>
      <c r="C379" s="54" t="s">
        <v>454</v>
      </c>
      <c r="D379" s="54"/>
      <c r="E379" s="54"/>
      <c r="F379" s="54"/>
      <c r="G379" s="54"/>
      <c r="H379" s="54"/>
      <c r="I379" s="54"/>
      <c r="J379" s="55">
        <f>ROUND(J371*1.03,2)</f>
        <v>992702.92</v>
      </c>
      <c r="K379" s="55"/>
    </row>
    <row r="380" spans="1:11" ht="14.25" x14ac:dyDescent="0.2">
      <c r="A380" s="41"/>
      <c r="B380" s="41"/>
      <c r="C380" s="54" t="s">
        <v>108</v>
      </c>
      <c r="D380" s="54"/>
      <c r="E380" s="54"/>
      <c r="F380" s="54"/>
      <c r="G380" s="54"/>
      <c r="H380" s="54"/>
      <c r="I380" s="54"/>
      <c r="J380" s="55">
        <f>ROUND(J372*1.03,2)</f>
        <v>397222.62</v>
      </c>
      <c r="K380" s="55"/>
    </row>
    <row r="381" spans="1:11" x14ac:dyDescent="0.2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</row>
    <row r="382" spans="1:11" x14ac:dyDescent="0.2">
      <c r="D382" s="43"/>
    </row>
    <row r="383" spans="1:11" ht="15" x14ac:dyDescent="0.25">
      <c r="A383" s="44"/>
      <c r="B383" s="44"/>
      <c r="C383" s="56" t="s">
        <v>514</v>
      </c>
      <c r="D383" s="56"/>
      <c r="E383" s="56"/>
      <c r="F383" s="56"/>
      <c r="G383" s="56"/>
      <c r="H383" s="45"/>
      <c r="I383" s="45"/>
      <c r="J383" s="57">
        <f>J376</f>
        <v>8814914.6699999999</v>
      </c>
      <c r="K383" s="57"/>
    </row>
    <row r="384" spans="1:11" ht="14.25" x14ac:dyDescent="0.2">
      <c r="A384" s="46"/>
      <c r="B384" s="46"/>
      <c r="C384" s="58" t="s">
        <v>515</v>
      </c>
      <c r="D384" s="58"/>
      <c r="E384" s="58"/>
      <c r="F384" s="58"/>
      <c r="G384" s="58"/>
      <c r="H384" s="58"/>
      <c r="I384" s="58"/>
      <c r="J384" s="59">
        <f>ROUND((J383-J386)*0.85,2)</f>
        <v>7492677.4699999997</v>
      </c>
      <c r="K384" s="59"/>
    </row>
    <row r="385" spans="1:11" ht="27" customHeight="1" x14ac:dyDescent="0.2">
      <c r="A385" s="46"/>
      <c r="B385" s="46"/>
      <c r="C385" s="58" t="s">
        <v>516</v>
      </c>
      <c r="D385" s="58"/>
      <c r="E385" s="58"/>
      <c r="F385" s="58"/>
      <c r="G385" s="58"/>
      <c r="H385" s="58"/>
      <c r="I385" s="58"/>
      <c r="J385" s="59">
        <f>ROUND((J383-J386)*0.15,2)</f>
        <v>1322237.2</v>
      </c>
      <c r="K385" s="59"/>
    </row>
    <row r="386" spans="1:11" ht="27" customHeight="1" x14ac:dyDescent="0.2">
      <c r="A386" s="47"/>
      <c r="B386" s="47"/>
      <c r="C386" s="58" t="s">
        <v>517</v>
      </c>
      <c r="D386" s="58"/>
      <c r="E386" s="58"/>
      <c r="F386" s="58"/>
      <c r="G386" s="58"/>
      <c r="H386" s="58"/>
      <c r="I386" s="58"/>
      <c r="J386" s="55">
        <v>0</v>
      </c>
      <c r="K386" s="55"/>
    </row>
    <row r="387" spans="1:11" x14ac:dyDescent="0.2">
      <c r="A387" s="47"/>
      <c r="B387" s="47"/>
      <c r="C387" s="47"/>
      <c r="D387" s="46"/>
      <c r="E387" s="47"/>
      <c r="F387" s="47"/>
      <c r="G387" s="47"/>
      <c r="H387" s="47"/>
      <c r="I387" s="47"/>
      <c r="J387" s="47"/>
      <c r="K387" s="47"/>
    </row>
    <row r="388" spans="1:11" x14ac:dyDescent="0.2">
      <c r="A388" s="47"/>
      <c r="B388" s="47"/>
      <c r="C388" s="47"/>
      <c r="D388" s="46"/>
      <c r="E388" s="47"/>
      <c r="F388" s="47"/>
      <c r="G388" s="47"/>
      <c r="H388" s="47"/>
      <c r="I388" s="47"/>
      <c r="J388" s="47"/>
      <c r="K388" s="47"/>
    </row>
    <row r="389" spans="1:11" ht="30" customHeight="1" x14ac:dyDescent="0.2">
      <c r="A389" s="47"/>
      <c r="B389" s="47"/>
      <c r="C389" s="51" t="s">
        <v>518</v>
      </c>
      <c r="D389" s="51"/>
      <c r="E389" s="51"/>
      <c r="F389" s="51"/>
      <c r="G389" s="51"/>
      <c r="H389" s="47"/>
      <c r="I389" s="47"/>
      <c r="J389" s="52">
        <f>J384</f>
        <v>7492677.4699999997</v>
      </c>
      <c r="K389" s="53"/>
    </row>
    <row r="390" spans="1:11" x14ac:dyDescent="0.2">
      <c r="A390" s="47"/>
      <c r="B390" s="47"/>
      <c r="C390" s="47"/>
      <c r="D390" s="46"/>
      <c r="E390" s="47"/>
      <c r="F390" s="47"/>
      <c r="G390" s="47"/>
      <c r="H390" s="47"/>
      <c r="I390" s="47"/>
      <c r="J390" s="47"/>
      <c r="K390" s="47"/>
    </row>
    <row r="391" spans="1:11" x14ac:dyDescent="0.2">
      <c r="D391" s="43"/>
    </row>
    <row r="392" spans="1:11" x14ac:dyDescent="0.2">
      <c r="D392" s="43"/>
    </row>
    <row r="393" spans="1:11" x14ac:dyDescent="0.2">
      <c r="D393" s="43"/>
    </row>
    <row r="394" spans="1:11" x14ac:dyDescent="0.2">
      <c r="D394" s="43"/>
    </row>
    <row r="395" spans="1:11" x14ac:dyDescent="0.2">
      <c r="B395" s="41" t="s">
        <v>519</v>
      </c>
      <c r="C395" s="48"/>
      <c r="D395" s="41"/>
      <c r="E395" s="48"/>
      <c r="F395" s="48"/>
      <c r="G395" s="48" t="s">
        <v>520</v>
      </c>
    </row>
    <row r="396" spans="1:11" x14ac:dyDescent="0.2">
      <c r="B396" s="41"/>
      <c r="C396" s="48"/>
      <c r="D396" s="41"/>
      <c r="E396" s="48"/>
      <c r="F396" s="48"/>
      <c r="G396" s="48"/>
    </row>
    <row r="397" spans="1:11" x14ac:dyDescent="0.2">
      <c r="B397" s="41"/>
      <c r="C397" s="48"/>
      <c r="D397" s="41"/>
      <c r="E397" s="48"/>
      <c r="F397" s="48"/>
      <c r="G397" s="48"/>
    </row>
    <row r="398" spans="1:11" x14ac:dyDescent="0.2">
      <c r="D398" s="43"/>
    </row>
    <row r="399" spans="1:11" x14ac:dyDescent="0.2">
      <c r="B399" s="41" t="s">
        <v>521</v>
      </c>
      <c r="C399" s="48"/>
      <c r="D399" s="41"/>
      <c r="E399" s="48"/>
      <c r="F399" s="48"/>
      <c r="G399" s="48" t="s">
        <v>522</v>
      </c>
    </row>
    <row r="400" spans="1:11" x14ac:dyDescent="0.2">
      <c r="D400" s="43"/>
    </row>
  </sheetData>
  <mergeCells count="199">
    <mergeCell ref="J366:K366"/>
    <mergeCell ref="H366:I366"/>
    <mergeCell ref="A366:G366"/>
    <mergeCell ref="J367:K367"/>
    <mergeCell ref="H367:I367"/>
    <mergeCell ref="A367:G367"/>
    <mergeCell ref="J363:K363"/>
    <mergeCell ref="H363:I363"/>
    <mergeCell ref="A363:G363"/>
    <mergeCell ref="J365:K365"/>
    <mergeCell ref="H365:I365"/>
    <mergeCell ref="A365:G365"/>
    <mergeCell ref="A354:K354"/>
    <mergeCell ref="J356:K356"/>
    <mergeCell ref="H356:I356"/>
    <mergeCell ref="J359:K359"/>
    <mergeCell ref="H359:I359"/>
    <mergeCell ref="J361:K361"/>
    <mergeCell ref="H361:I361"/>
    <mergeCell ref="A361:G361"/>
    <mergeCell ref="J348:K348"/>
    <mergeCell ref="H348:I348"/>
    <mergeCell ref="J350:K350"/>
    <mergeCell ref="H350:I350"/>
    <mergeCell ref="A350:G350"/>
    <mergeCell ref="J351:K351"/>
    <mergeCell ref="H351:I351"/>
    <mergeCell ref="A351:G351"/>
    <mergeCell ref="J335:K335"/>
    <mergeCell ref="H335:I335"/>
    <mergeCell ref="J340:K340"/>
    <mergeCell ref="H340:I340"/>
    <mergeCell ref="J344:K344"/>
    <mergeCell ref="H344:I344"/>
    <mergeCell ref="J317:K317"/>
    <mergeCell ref="H317:I317"/>
    <mergeCell ref="J327:K327"/>
    <mergeCell ref="H327:I327"/>
    <mergeCell ref="J331:K331"/>
    <mergeCell ref="H331:I331"/>
    <mergeCell ref="A279:K279"/>
    <mergeCell ref="J290:K290"/>
    <mergeCell ref="H290:I290"/>
    <mergeCell ref="J297:K297"/>
    <mergeCell ref="H297:I297"/>
    <mergeCell ref="J306:K306"/>
    <mergeCell ref="H306:I306"/>
    <mergeCell ref="J273:K273"/>
    <mergeCell ref="H273:I273"/>
    <mergeCell ref="J275:K275"/>
    <mergeCell ref="H275:I275"/>
    <mergeCell ref="A275:G275"/>
    <mergeCell ref="J276:K276"/>
    <mergeCell ref="H276:I276"/>
    <mergeCell ref="A276:G276"/>
    <mergeCell ref="J261:K261"/>
    <mergeCell ref="H261:I261"/>
    <mergeCell ref="J267:K267"/>
    <mergeCell ref="H267:I267"/>
    <mergeCell ref="J270:K270"/>
    <mergeCell ref="H270:I270"/>
    <mergeCell ref="A224:K224"/>
    <mergeCell ref="J230:K230"/>
    <mergeCell ref="H230:I230"/>
    <mergeCell ref="J242:K242"/>
    <mergeCell ref="H242:I242"/>
    <mergeCell ref="J250:K250"/>
    <mergeCell ref="H250:I250"/>
    <mergeCell ref="J218:K218"/>
    <mergeCell ref="H218:I218"/>
    <mergeCell ref="J220:K220"/>
    <mergeCell ref="H220:I220"/>
    <mergeCell ref="A220:G220"/>
    <mergeCell ref="J221:K221"/>
    <mergeCell ref="H221:I221"/>
    <mergeCell ref="A221:G221"/>
    <mergeCell ref="J200:K200"/>
    <mergeCell ref="H200:I200"/>
    <mergeCell ref="J210:K210"/>
    <mergeCell ref="H210:I210"/>
    <mergeCell ref="J214:K214"/>
    <mergeCell ref="H214:I214"/>
    <mergeCell ref="A181:G181"/>
    <mergeCell ref="J182:K182"/>
    <mergeCell ref="H182:I182"/>
    <mergeCell ref="A182:G182"/>
    <mergeCell ref="A185:K185"/>
    <mergeCell ref="J191:K191"/>
    <mergeCell ref="H191:I191"/>
    <mergeCell ref="J176:K176"/>
    <mergeCell ref="H176:I176"/>
    <mergeCell ref="J179:K179"/>
    <mergeCell ref="H179:I179"/>
    <mergeCell ref="J181:K181"/>
    <mergeCell ref="H181:I181"/>
    <mergeCell ref="J165:K165"/>
    <mergeCell ref="H165:I165"/>
    <mergeCell ref="J169:K169"/>
    <mergeCell ref="H169:I169"/>
    <mergeCell ref="J173:K173"/>
    <mergeCell ref="H173:I173"/>
    <mergeCell ref="A129:K129"/>
    <mergeCell ref="J140:K140"/>
    <mergeCell ref="H140:I140"/>
    <mergeCell ref="J146:K146"/>
    <mergeCell ref="H146:I146"/>
    <mergeCell ref="J155:K155"/>
    <mergeCell ref="H155:I155"/>
    <mergeCell ref="J123:K123"/>
    <mergeCell ref="H123:I123"/>
    <mergeCell ref="J125:K125"/>
    <mergeCell ref="H125:I125"/>
    <mergeCell ref="A125:G125"/>
    <mergeCell ref="J126:K126"/>
    <mergeCell ref="H126:I126"/>
    <mergeCell ref="A126:G126"/>
    <mergeCell ref="J113:K113"/>
    <mergeCell ref="H113:I113"/>
    <mergeCell ref="J117:K117"/>
    <mergeCell ref="H117:I117"/>
    <mergeCell ref="J120:K120"/>
    <mergeCell ref="H120:I120"/>
    <mergeCell ref="J88:K88"/>
    <mergeCell ref="H88:I88"/>
    <mergeCell ref="J99:K99"/>
    <mergeCell ref="H99:I99"/>
    <mergeCell ref="J109:K109"/>
    <mergeCell ref="H109:I109"/>
    <mergeCell ref="J72:K72"/>
    <mergeCell ref="H72:I72"/>
    <mergeCell ref="A72:G72"/>
    <mergeCell ref="J73:K73"/>
    <mergeCell ref="H73:I73"/>
    <mergeCell ref="A73:G73"/>
    <mergeCell ref="J70:K70"/>
    <mergeCell ref="H70:I70"/>
    <mergeCell ref="J46:K46"/>
    <mergeCell ref="H46:I46"/>
    <mergeCell ref="J56:K56"/>
    <mergeCell ref="H56:I56"/>
    <mergeCell ref="J60:K60"/>
    <mergeCell ref="H60:I60"/>
    <mergeCell ref="A76:K76"/>
    <mergeCell ref="A3:K3"/>
    <mergeCell ref="A4:K4"/>
    <mergeCell ref="A6:K6"/>
    <mergeCell ref="A7:K7"/>
    <mergeCell ref="A9:K9"/>
    <mergeCell ref="A368:G368"/>
    <mergeCell ref="C369:I369"/>
    <mergeCell ref="J369:K369"/>
    <mergeCell ref="F18:H18"/>
    <mergeCell ref="F19:H19"/>
    <mergeCell ref="F21:H21"/>
    <mergeCell ref="A22:K22"/>
    <mergeCell ref="A26:K26"/>
    <mergeCell ref="J37:K37"/>
    <mergeCell ref="H37:I37"/>
    <mergeCell ref="A12:K12"/>
    <mergeCell ref="F14:H14"/>
    <mergeCell ref="F15:H15"/>
    <mergeCell ref="F16:H16"/>
    <mergeCell ref="F17:H17"/>
    <mergeCell ref="J64:K64"/>
    <mergeCell ref="H64:I64"/>
    <mergeCell ref="J67:K67"/>
    <mergeCell ref="H67:I67"/>
    <mergeCell ref="C370:I370"/>
    <mergeCell ref="J370:K370"/>
    <mergeCell ref="C371:I371"/>
    <mergeCell ref="J371:K371"/>
    <mergeCell ref="C372:I372"/>
    <mergeCell ref="J372:K372"/>
    <mergeCell ref="C373:I373"/>
    <mergeCell ref="J373:K373"/>
    <mergeCell ref="C374:I374"/>
    <mergeCell ref="J374:K374"/>
    <mergeCell ref="C375:I375"/>
    <mergeCell ref="J375:K375"/>
    <mergeCell ref="C376:I376"/>
    <mergeCell ref="J376:K376"/>
    <mergeCell ref="C377:I377"/>
    <mergeCell ref="J377:K377"/>
    <mergeCell ref="C378:I378"/>
    <mergeCell ref="J378:K378"/>
    <mergeCell ref="C379:I379"/>
    <mergeCell ref="J379:K379"/>
    <mergeCell ref="C389:G389"/>
    <mergeCell ref="J389:K389"/>
    <mergeCell ref="C380:I380"/>
    <mergeCell ref="J380:K380"/>
    <mergeCell ref="C383:G383"/>
    <mergeCell ref="J383:K383"/>
    <mergeCell ref="C384:I384"/>
    <mergeCell ref="J384:K384"/>
    <mergeCell ref="C385:I385"/>
    <mergeCell ref="J385:K385"/>
    <mergeCell ref="C386:I386"/>
    <mergeCell ref="J386:K386"/>
  </mergeCells>
  <printOptions horizontalCentered="1"/>
  <pageMargins left="0.39370078740157483" right="0.19685039370078741" top="0.19685039370078741" bottom="0.39370078740157483" header="0.19685039370078741" footer="0.19685039370078741"/>
  <pageSetup paperSize="9" scale="61" fitToHeight="0" orientation="portrait" horizontalDpi="300" verticalDpi="30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95"/>
  <sheetViews>
    <sheetView workbookViewId="0">
      <selection activeCell="A391" sqref="A391:AA39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21827590</v>
      </c>
      <c r="N1">
        <v>10</v>
      </c>
      <c r="O1">
        <v>1</v>
      </c>
      <c r="P1">
        <v>0</v>
      </c>
      <c r="Q1">
        <v>11</v>
      </c>
    </row>
    <row r="12" spans="1:133" x14ac:dyDescent="0.2">
      <c r="A12" s="1">
        <v>1</v>
      </c>
      <c r="B12" s="1">
        <v>390</v>
      </c>
      <c r="C12" s="1">
        <v>0</v>
      </c>
      <c r="D12" s="1">
        <f>ROW(A358)</f>
        <v>358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0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41481</v>
      </c>
      <c r="CI12" s="1" t="s">
        <v>3</v>
      </c>
      <c r="CJ12" s="1" t="s">
        <v>3</v>
      </c>
      <c r="CK12" s="1">
        <v>51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B358</f>
        <v>390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Кокошкино д.п., ул. Школьная_смр</v>
      </c>
      <c r="H18" s="2"/>
      <c r="I18" s="2"/>
      <c r="J18" s="2"/>
      <c r="K18" s="2"/>
      <c r="L18" s="2"/>
      <c r="M18" s="2"/>
      <c r="N18" s="2"/>
      <c r="O18" s="2">
        <f t="shared" ref="O18:AT18" si="1">O358</f>
        <v>4512500.63</v>
      </c>
      <c r="P18" s="2">
        <f t="shared" si="1"/>
        <v>3910920.23</v>
      </c>
      <c r="Q18" s="2">
        <f t="shared" si="1"/>
        <v>413913.62</v>
      </c>
      <c r="R18" s="2">
        <f t="shared" si="1"/>
        <v>30210.29</v>
      </c>
      <c r="S18" s="2">
        <f t="shared" si="1"/>
        <v>187666.78</v>
      </c>
      <c r="T18" s="2">
        <f t="shared" si="1"/>
        <v>87286.87</v>
      </c>
      <c r="U18" s="2">
        <f t="shared" si="1"/>
        <v>708.96890003899989</v>
      </c>
      <c r="V18" s="2">
        <f t="shared" si="1"/>
        <v>0</v>
      </c>
      <c r="W18" s="2">
        <f t="shared" si="1"/>
        <v>0</v>
      </c>
      <c r="X18" s="2">
        <f t="shared" si="1"/>
        <v>191813.64</v>
      </c>
      <c r="Y18" s="2">
        <f t="shared" si="1"/>
        <v>92651.38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963789.24</v>
      </c>
      <c r="AQ18" s="2">
        <f t="shared" si="1"/>
        <v>0</v>
      </c>
      <c r="AR18" s="2">
        <f t="shared" si="1"/>
        <v>8451636.6600000001</v>
      </c>
      <c r="AS18" s="2">
        <f t="shared" si="1"/>
        <v>7102194.3899999997</v>
      </c>
      <c r="AT18" s="2">
        <f t="shared" si="1"/>
        <v>0</v>
      </c>
      <c r="AU18" s="2">
        <f t="shared" ref="AU18:BZ18" si="2">AU358</f>
        <v>341761.2</v>
      </c>
      <c r="AV18" s="2">
        <f t="shared" si="2"/>
        <v>3910920.23</v>
      </c>
      <c r="AW18" s="2">
        <f t="shared" si="2"/>
        <v>2947130.99</v>
      </c>
      <c r="AX18" s="2">
        <f t="shared" si="2"/>
        <v>0</v>
      </c>
      <c r="AY18" s="2">
        <f t="shared" si="2"/>
        <v>2947130.99</v>
      </c>
      <c r="AZ18" s="2">
        <f t="shared" si="2"/>
        <v>963789.24</v>
      </c>
      <c r="BA18" s="2">
        <f t="shared" si="2"/>
        <v>43891.83</v>
      </c>
      <c r="BB18" s="2">
        <f t="shared" si="2"/>
        <v>865772.65</v>
      </c>
      <c r="BC18" s="2">
        <f t="shared" si="2"/>
        <v>2697576.37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CA358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DG358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EM358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FS358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ROW(A329)</f>
        <v>329</v>
      </c>
      <c r="E20" s="1"/>
      <c r="F20" s="1" t="s">
        <v>11</v>
      </c>
      <c r="G20" s="1" t="s">
        <v>3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B329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/>
      </c>
      <c r="H22" s="2"/>
      <c r="I22" s="2"/>
      <c r="J22" s="2"/>
      <c r="K22" s="2"/>
      <c r="L22" s="2"/>
      <c r="M22" s="2"/>
      <c r="N22" s="2"/>
      <c r="O22" s="2">
        <f t="shared" ref="O22:AT22" si="8">O329</f>
        <v>4512500.63</v>
      </c>
      <c r="P22" s="2">
        <f t="shared" si="8"/>
        <v>3910920.23</v>
      </c>
      <c r="Q22" s="2">
        <f t="shared" si="8"/>
        <v>413913.62</v>
      </c>
      <c r="R22" s="2">
        <f t="shared" si="8"/>
        <v>30210.29</v>
      </c>
      <c r="S22" s="2">
        <f t="shared" si="8"/>
        <v>187666.78</v>
      </c>
      <c r="T22" s="2">
        <f t="shared" si="8"/>
        <v>87286.87</v>
      </c>
      <c r="U22" s="2">
        <f t="shared" si="8"/>
        <v>708.96890003899989</v>
      </c>
      <c r="V22" s="2">
        <f t="shared" si="8"/>
        <v>0</v>
      </c>
      <c r="W22" s="2">
        <f t="shared" si="8"/>
        <v>0</v>
      </c>
      <c r="X22" s="2">
        <f t="shared" si="8"/>
        <v>191813.64</v>
      </c>
      <c r="Y22" s="2">
        <f t="shared" si="8"/>
        <v>92651.38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963789.24</v>
      </c>
      <c r="AQ22" s="2">
        <f t="shared" si="8"/>
        <v>0</v>
      </c>
      <c r="AR22" s="2">
        <f t="shared" si="8"/>
        <v>8451636.6600000001</v>
      </c>
      <c r="AS22" s="2">
        <f t="shared" si="8"/>
        <v>7102194.3899999997</v>
      </c>
      <c r="AT22" s="2">
        <f t="shared" si="8"/>
        <v>0</v>
      </c>
      <c r="AU22" s="2">
        <f t="shared" ref="AU22:BZ22" si="9">AU329</f>
        <v>341761.2</v>
      </c>
      <c r="AV22" s="2">
        <f t="shared" si="9"/>
        <v>3910920.23</v>
      </c>
      <c r="AW22" s="2">
        <f t="shared" si="9"/>
        <v>2947130.99</v>
      </c>
      <c r="AX22" s="2">
        <f t="shared" si="9"/>
        <v>0</v>
      </c>
      <c r="AY22" s="2">
        <f t="shared" si="9"/>
        <v>2947130.99</v>
      </c>
      <c r="AZ22" s="2">
        <f t="shared" si="9"/>
        <v>963789.24</v>
      </c>
      <c r="BA22" s="2">
        <f t="shared" si="9"/>
        <v>43891.83</v>
      </c>
      <c r="BB22" s="2">
        <f t="shared" si="9"/>
        <v>865772.65</v>
      </c>
      <c r="BC22" s="2">
        <f t="shared" si="9"/>
        <v>2697576.37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CA329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DG329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EM329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FS329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ROW(A39)</f>
        <v>39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B39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ТЕПЛОВАЯ СЕТЬ  2Ду125 в ППУ-ПЭ бесканальная прокладка - 19.1м</v>
      </c>
      <c r="H26" s="2"/>
      <c r="I26" s="2"/>
      <c r="J26" s="2"/>
      <c r="K26" s="2"/>
      <c r="L26" s="2"/>
      <c r="M26" s="2"/>
      <c r="N26" s="2"/>
      <c r="O26" s="2">
        <f t="shared" ref="O26:AT26" si="15">O39</f>
        <v>392839.75</v>
      </c>
      <c r="P26" s="2">
        <f t="shared" si="15"/>
        <v>354899</v>
      </c>
      <c r="Q26" s="2">
        <f t="shared" si="15"/>
        <v>37756.239999999998</v>
      </c>
      <c r="R26" s="2">
        <f t="shared" si="15"/>
        <v>1839.12</v>
      </c>
      <c r="S26" s="2">
        <f t="shared" si="15"/>
        <v>184.51</v>
      </c>
      <c r="T26" s="2">
        <f t="shared" si="15"/>
        <v>0</v>
      </c>
      <c r="U26" s="2">
        <f t="shared" si="15"/>
        <v>0.84304199999999985</v>
      </c>
      <c r="V26" s="2">
        <f t="shared" si="15"/>
        <v>0</v>
      </c>
      <c r="W26" s="2">
        <f t="shared" si="15"/>
        <v>0</v>
      </c>
      <c r="X26" s="2">
        <f t="shared" si="15"/>
        <v>169.75</v>
      </c>
      <c r="Y26" s="2">
        <f t="shared" si="15"/>
        <v>92.26</v>
      </c>
      <c r="Z26" s="2">
        <f t="shared" si="15"/>
        <v>0</v>
      </c>
      <c r="AA26" s="2">
        <f t="shared" si="15"/>
        <v>0</v>
      </c>
      <c r="AB26" s="2">
        <f t="shared" si="15"/>
        <v>392839.75</v>
      </c>
      <c r="AC26" s="2">
        <f t="shared" si="15"/>
        <v>354899</v>
      </c>
      <c r="AD26" s="2">
        <f t="shared" si="15"/>
        <v>37756.239999999998</v>
      </c>
      <c r="AE26" s="2">
        <f t="shared" si="15"/>
        <v>1839.12</v>
      </c>
      <c r="AF26" s="2">
        <f t="shared" si="15"/>
        <v>184.51</v>
      </c>
      <c r="AG26" s="2">
        <f t="shared" si="15"/>
        <v>0</v>
      </c>
      <c r="AH26" s="2">
        <f t="shared" si="15"/>
        <v>0.84304199999999985</v>
      </c>
      <c r="AI26" s="2">
        <f t="shared" si="15"/>
        <v>0</v>
      </c>
      <c r="AJ26" s="2">
        <f t="shared" si="15"/>
        <v>0</v>
      </c>
      <c r="AK26" s="2">
        <f t="shared" si="15"/>
        <v>169.75</v>
      </c>
      <c r="AL26" s="2">
        <f t="shared" si="15"/>
        <v>92.26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824234.32</v>
      </c>
      <c r="AS26" s="2">
        <f t="shared" si="15"/>
        <v>787349.32</v>
      </c>
      <c r="AT26" s="2">
        <f t="shared" si="15"/>
        <v>0</v>
      </c>
      <c r="AU26" s="2">
        <f t="shared" ref="AU26:BZ26" si="16">AU39</f>
        <v>33618.9</v>
      </c>
      <c r="AV26" s="2">
        <f t="shared" si="16"/>
        <v>354899</v>
      </c>
      <c r="AW26" s="2">
        <f t="shared" si="16"/>
        <v>354899</v>
      </c>
      <c r="AX26" s="2">
        <f t="shared" si="16"/>
        <v>0</v>
      </c>
      <c r="AY26" s="2">
        <f t="shared" si="16"/>
        <v>354899</v>
      </c>
      <c r="AZ26" s="2">
        <f t="shared" si="16"/>
        <v>0</v>
      </c>
      <c r="BA26" s="2">
        <f t="shared" si="16"/>
        <v>3266.1</v>
      </c>
      <c r="BB26" s="2">
        <f t="shared" si="16"/>
        <v>81662.740000000005</v>
      </c>
      <c r="BC26" s="2">
        <f t="shared" si="16"/>
        <v>343316.3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CA39</f>
        <v>824234.32</v>
      </c>
      <c r="CB26" s="2">
        <f t="shared" si="17"/>
        <v>787349.32</v>
      </c>
      <c r="CC26" s="2">
        <f t="shared" si="17"/>
        <v>0</v>
      </c>
      <c r="CD26" s="2">
        <f t="shared" si="17"/>
        <v>33618.9</v>
      </c>
      <c r="CE26" s="2">
        <f t="shared" si="17"/>
        <v>354899</v>
      </c>
      <c r="CF26" s="2">
        <f t="shared" si="17"/>
        <v>354899</v>
      </c>
      <c r="CG26" s="2">
        <f t="shared" si="17"/>
        <v>0</v>
      </c>
      <c r="CH26" s="2">
        <f t="shared" si="17"/>
        <v>354899</v>
      </c>
      <c r="CI26" s="2">
        <f t="shared" si="17"/>
        <v>0</v>
      </c>
      <c r="CJ26" s="2">
        <f t="shared" si="17"/>
        <v>3266.1</v>
      </c>
      <c r="CK26" s="2">
        <f t="shared" si="17"/>
        <v>81662.740000000005</v>
      </c>
      <c r="CL26" s="2">
        <f t="shared" si="17"/>
        <v>343316.3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DG39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EM39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FS39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ROW(SmtRes!A3)</f>
        <v>3</v>
      </c>
      <c r="D28">
        <f>ROW(EtalonRes!A3)</f>
        <v>3</v>
      </c>
      <c r="E28" t="s">
        <v>14</v>
      </c>
      <c r="F28" t="s">
        <v>15</v>
      </c>
      <c r="G28" t="s">
        <v>16</v>
      </c>
      <c r="H28" t="s">
        <v>17</v>
      </c>
      <c r="I28">
        <v>19.100000000000001</v>
      </c>
      <c r="J28">
        <v>0</v>
      </c>
      <c r="O28">
        <f t="shared" ref="O28:O37" si="21">ROUND(CP28,2)</f>
        <v>246040.46</v>
      </c>
      <c r="P28">
        <f t="shared" ref="P28:P37" si="22">ROUND((ROUND((AC28*AW28*I28),2)*BC28),2)</f>
        <v>246040.46</v>
      </c>
      <c r="Q28">
        <f>0</f>
        <v>0</v>
      </c>
      <c r="R28">
        <f t="shared" ref="R28:R37" si="23">ROUND((ROUND((AE28*AV28*I28),2)*BS28),2)</f>
        <v>0</v>
      </c>
      <c r="S28">
        <f>0</f>
        <v>0</v>
      </c>
      <c r="T28">
        <f t="shared" ref="T28:T37" si="24">ROUND(CU28*I28,2)</f>
        <v>0</v>
      </c>
      <c r="U28">
        <f t="shared" ref="U28:U37" si="25">CV28*I28</f>
        <v>0</v>
      </c>
      <c r="V28">
        <f t="shared" ref="V28:V37" si="26">CW28*I28</f>
        <v>0</v>
      </c>
      <c r="W28">
        <f t="shared" ref="W28:W37" si="27">ROUND(CX28*I28,2)</f>
        <v>0</v>
      </c>
      <c r="X28">
        <f t="shared" ref="X28:X37" si="28">ROUND(CY28,2)</f>
        <v>0</v>
      </c>
      <c r="Y28">
        <f t="shared" ref="Y28:Y37" si="29">ROUND(CZ28,2)</f>
        <v>0</v>
      </c>
      <c r="AA28">
        <v>309315610</v>
      </c>
      <c r="AB28">
        <f>ROUND((AC28+0+0),6)</f>
        <v>3435.12</v>
      </c>
      <c r="AC28">
        <f>ROUND(((ES28*0.78)),6)</f>
        <v>3435.12</v>
      </c>
      <c r="AD28">
        <f>ROUND(((((ET28*1.15*0.86))-((EU28*1.15*0.86)))+AE28),6)</f>
        <v>165.16300000000001</v>
      </c>
      <c r="AE28">
        <f>ROUND(((EU28*1.15*0.86)),6)</f>
        <v>0</v>
      </c>
      <c r="AF28">
        <f>ROUND(((EV28*1.15*0.92)),6)</f>
        <v>538.52200000000005</v>
      </c>
      <c r="AG28">
        <f t="shared" ref="AG28:AG37" si="30">ROUND((AP28),6)</f>
        <v>0</v>
      </c>
      <c r="AH28">
        <f>((EW28*1.15*0.92))</f>
        <v>0</v>
      </c>
      <c r="AI28">
        <f>((EX28*1.15*0.86))</f>
        <v>0</v>
      </c>
      <c r="AJ28">
        <f t="shared" ref="AJ28:AJ37" si="31">(AS28)</f>
        <v>0</v>
      </c>
      <c r="AK28">
        <v>5110</v>
      </c>
      <c r="AL28">
        <v>4404</v>
      </c>
      <c r="AM28">
        <v>167</v>
      </c>
      <c r="AN28">
        <v>0</v>
      </c>
      <c r="AO28">
        <v>509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16.829999999999998</v>
      </c>
      <c r="BB28">
        <v>9.74</v>
      </c>
      <c r="BC28">
        <v>3.75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18</v>
      </c>
      <c r="BM28">
        <v>1114</v>
      </c>
      <c r="BN28">
        <v>0</v>
      </c>
      <c r="BO28" t="s">
        <v>15</v>
      </c>
      <c r="BP28">
        <v>1</v>
      </c>
      <c r="BQ28">
        <v>160</v>
      </c>
      <c r="BR28">
        <v>0</v>
      </c>
      <c r="BS28">
        <v>16.829999999999998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E28">
        <v>30</v>
      </c>
      <c r="CF28">
        <v>0</v>
      </c>
      <c r="CG28">
        <v>0</v>
      </c>
      <c r="CM28">
        <v>0</v>
      </c>
      <c r="CN28" t="s">
        <v>19</v>
      </c>
      <c r="CO28">
        <v>0</v>
      </c>
      <c r="CP28">
        <f t="shared" ref="CP28:CP37" si="32">(P28+Q28+S28)</f>
        <v>246040.46</v>
      </c>
      <c r="CQ28">
        <f t="shared" ref="CQ28:CQ37" si="33">ROUND((ROUND((AC28*AW28*1),2)*BC28),2)</f>
        <v>12881.7</v>
      </c>
      <c r="CR28">
        <f>(ROUND((ROUND((((ET28*1.15*0.86))*AV28*1),2)*BB28),2)+ROUND((ROUND(((AE28-((EU28*1.15*0.86)))*AV28*1),2)*BS28),2))</f>
        <v>1608.66</v>
      </c>
      <c r="CS28">
        <f t="shared" ref="CS28:CS37" si="34">ROUND((ROUND((AE28*AV28*1),2)*BS28),2)</f>
        <v>0</v>
      </c>
      <c r="CT28">
        <f t="shared" ref="CT28:CT37" si="35">ROUND((ROUND((AF28*AV28*1),2)*BA28),2)</f>
        <v>9063.2900000000009</v>
      </c>
      <c r="CU28">
        <f t="shared" ref="CU28:CU37" si="36">AG28</f>
        <v>0</v>
      </c>
      <c r="CV28">
        <f t="shared" ref="CV28:CV37" si="37">(AH28*AV28)</f>
        <v>0</v>
      </c>
      <c r="CW28">
        <f t="shared" ref="CW28:CW37" si="38">AI28</f>
        <v>0</v>
      </c>
      <c r="CX28">
        <f t="shared" ref="CX28:CX37" si="39">AJ28</f>
        <v>0</v>
      </c>
      <c r="CY28">
        <f t="shared" ref="CY28:CY37" si="40">S28*(BZ28/100)</f>
        <v>0</v>
      </c>
      <c r="CZ28">
        <f t="shared" ref="CZ28:CZ37" si="41">S28*(CA28/100)</f>
        <v>0</v>
      </c>
      <c r="DC28" t="s">
        <v>3</v>
      </c>
      <c r="DD28" t="s">
        <v>20</v>
      </c>
      <c r="DE28" t="s">
        <v>21</v>
      </c>
      <c r="DF28" t="s">
        <v>21</v>
      </c>
      <c r="DG28" t="s">
        <v>22</v>
      </c>
      <c r="DH28" t="s">
        <v>3</v>
      </c>
      <c r="DI28" t="s">
        <v>22</v>
      </c>
      <c r="DJ28" t="s">
        <v>21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17</v>
      </c>
      <c r="DW28" t="s">
        <v>17</v>
      </c>
      <c r="DX28">
        <v>1</v>
      </c>
      <c r="EE28">
        <v>298189190</v>
      </c>
      <c r="EF28">
        <v>160</v>
      </c>
      <c r="EG28" t="s">
        <v>23</v>
      </c>
      <c r="EH28">
        <v>0</v>
      </c>
      <c r="EI28" t="s">
        <v>3</v>
      </c>
      <c r="EJ28">
        <v>1</v>
      </c>
      <c r="EK28">
        <v>1114</v>
      </c>
      <c r="EL28" t="s">
        <v>24</v>
      </c>
      <c r="EM28" t="s">
        <v>25</v>
      </c>
      <c r="EO28" t="s">
        <v>3</v>
      </c>
      <c r="EQ28">
        <v>0</v>
      </c>
      <c r="ER28">
        <v>5110</v>
      </c>
      <c r="ES28">
        <v>4404</v>
      </c>
      <c r="ET28">
        <v>167</v>
      </c>
      <c r="EU28">
        <v>0</v>
      </c>
      <c r="EV28">
        <v>509</v>
      </c>
      <c r="EW28">
        <v>0</v>
      </c>
      <c r="EX28">
        <v>0</v>
      </c>
      <c r="EY28">
        <v>1</v>
      </c>
      <c r="FQ28">
        <v>0</v>
      </c>
      <c r="FR28">
        <f t="shared" ref="FR28:FR37" si="42">ROUND(IF(AND(BH28=3,BI28=3),P28,0),2)</f>
        <v>0</v>
      </c>
      <c r="FS28">
        <v>0</v>
      </c>
      <c r="FX28">
        <v>0</v>
      </c>
      <c r="FY28">
        <v>0</v>
      </c>
      <c r="GA28" t="s">
        <v>3</v>
      </c>
      <c r="GD28">
        <v>1</v>
      </c>
      <c r="GF28">
        <v>1786118112</v>
      </c>
      <c r="GG28">
        <v>2</v>
      </c>
      <c r="GH28">
        <v>1</v>
      </c>
      <c r="GI28">
        <v>2</v>
      </c>
      <c r="GJ28">
        <v>3</v>
      </c>
      <c r="GK28">
        <v>0</v>
      </c>
      <c r="GL28">
        <f t="shared" ref="GL28:GL37" si="43">ROUND(IF(AND(BH28=3,BI28=3,FS28&lt;&gt;0),P28,0),2)</f>
        <v>0</v>
      </c>
      <c r="GM28">
        <f>ROUND(P28+GY28+GZ28,2)+GX28</f>
        <v>453141.97</v>
      </c>
      <c r="GN28">
        <f>IF(OR(BI28=0,BI28=1),ROUND(P28+GY28+GZ28,2),0)</f>
        <v>449875.87</v>
      </c>
      <c r="GO28">
        <f>IF(BI28=2,ROUND(P28+GY28+GZ28,2),0)</f>
        <v>0</v>
      </c>
      <c r="GP28">
        <f>IF(BI28=4,ROUND(P28+GY28+GZ28,2)+GX28,0)</f>
        <v>0</v>
      </c>
      <c r="GR28">
        <v>0</v>
      </c>
      <c r="GS28">
        <v>3</v>
      </c>
      <c r="GT28">
        <v>30</v>
      </c>
      <c r="GU28" t="s">
        <v>3</v>
      </c>
      <c r="GV28">
        <f t="shared" ref="GV28:GV37" si="44">ROUND((GT28),6)</f>
        <v>30</v>
      </c>
      <c r="GW28">
        <v>5.7</v>
      </c>
      <c r="GX28">
        <f t="shared" ref="GX28:GX37" si="45">ROUND(HC28*I28,2)</f>
        <v>3266.1</v>
      </c>
      <c r="GY28">
        <f>(ROUND((ROUND((((ET28*1.15*0.86))*AV28*I28),2)*BB28),2)+ROUND((ROUND(((AE28-((EU28*1.15*0.86)))*AV28*I28),2)*BS28),2))</f>
        <v>30725.9</v>
      </c>
      <c r="GZ28">
        <f>ROUND((ROUND((AF28*AV28*I28),2)*BA28),2)</f>
        <v>173109.51</v>
      </c>
      <c r="HA28">
        <v>0.87580000000000002</v>
      </c>
      <c r="HB28">
        <v>1.3999999999999999E-4</v>
      </c>
      <c r="HC28">
        <f t="shared" ref="HC28:HC37" si="46">GV28*GW28</f>
        <v>171</v>
      </c>
      <c r="IK28">
        <v>0</v>
      </c>
    </row>
    <row r="29" spans="1:245" x14ac:dyDescent="0.2">
      <c r="A29">
        <v>18</v>
      </c>
      <c r="B29">
        <v>1</v>
      </c>
      <c r="C29">
        <v>2</v>
      </c>
      <c r="E29" t="s">
        <v>26</v>
      </c>
      <c r="F29" t="s">
        <v>27</v>
      </c>
      <c r="G29" t="s">
        <v>28</v>
      </c>
      <c r="H29" t="s">
        <v>29</v>
      </c>
      <c r="I29">
        <f>I28*J29</f>
        <v>2.0860000000000002E-3</v>
      </c>
      <c r="J29">
        <v>1.0921465968586388E-4</v>
      </c>
      <c r="O29">
        <f t="shared" si="21"/>
        <v>0</v>
      </c>
      <c r="P29">
        <f t="shared" si="22"/>
        <v>0</v>
      </c>
      <c r="Q29">
        <f>(ROUND((ROUND(((ET29)*AV29*I29),2)*BB29),2)+ROUND((ROUND(((AE29-(EU29))*AV29*I29),2)*BS29),2))</f>
        <v>0</v>
      </c>
      <c r="R29">
        <f t="shared" si="23"/>
        <v>0</v>
      </c>
      <c r="S29">
        <f>ROUND((ROUND((AF29*AV29*I29),2)*BA29),2)</f>
        <v>0</v>
      </c>
      <c r="T29">
        <f t="shared" si="24"/>
        <v>0</v>
      </c>
      <c r="U29">
        <f t="shared" si="25"/>
        <v>0</v>
      </c>
      <c r="V29">
        <f t="shared" si="26"/>
        <v>0</v>
      </c>
      <c r="W29">
        <f t="shared" si="27"/>
        <v>0</v>
      </c>
      <c r="X29">
        <f t="shared" si="28"/>
        <v>0</v>
      </c>
      <c r="Y29">
        <f t="shared" si="29"/>
        <v>0</v>
      </c>
      <c r="AA29">
        <v>309315610</v>
      </c>
      <c r="AB29">
        <f>ROUND((AC29+AD29+AF29),6)</f>
        <v>0</v>
      </c>
      <c r="AC29">
        <f t="shared" ref="AC29:AC37" si="47">ROUND((ES29),6)</f>
        <v>0</v>
      </c>
      <c r="AD29">
        <f>ROUND((((ET29)-(EU29))+AE29),6)</f>
        <v>0</v>
      </c>
      <c r="AE29">
        <f>ROUND((EU29),6)</f>
        <v>0</v>
      </c>
      <c r="AF29">
        <f>ROUND((EV29),6)</f>
        <v>0</v>
      </c>
      <c r="AG29">
        <f t="shared" si="30"/>
        <v>0</v>
      </c>
      <c r="AH29">
        <f>(EW29)</f>
        <v>0</v>
      </c>
      <c r="AI29">
        <f>(EX29)</f>
        <v>0</v>
      </c>
      <c r="AJ29">
        <f t="shared" si="31"/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1</v>
      </c>
      <c r="BJ29" t="s">
        <v>3</v>
      </c>
      <c r="BM29">
        <v>1114</v>
      </c>
      <c r="BN29">
        <v>0</v>
      </c>
      <c r="BO29" t="s">
        <v>3</v>
      </c>
      <c r="BP29">
        <v>0</v>
      </c>
      <c r="BQ29">
        <v>160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E29">
        <v>30</v>
      </c>
      <c r="CF29">
        <v>0</v>
      </c>
      <c r="CG29">
        <v>0</v>
      </c>
      <c r="CM29">
        <v>0</v>
      </c>
      <c r="CN29" t="s">
        <v>19</v>
      </c>
      <c r="CO29">
        <v>0</v>
      </c>
      <c r="CP29">
        <f t="shared" si="32"/>
        <v>0</v>
      </c>
      <c r="CQ29">
        <f t="shared" si="33"/>
        <v>0</v>
      </c>
      <c r="CR29">
        <f>(ROUND((ROUND(((ET29)*AV29*1),2)*BB29),2)+ROUND((ROUND(((AE29-(EU29))*AV29*1),2)*BS29),2))</f>
        <v>0</v>
      </c>
      <c r="CS29">
        <f t="shared" si="34"/>
        <v>0</v>
      </c>
      <c r="CT29">
        <f t="shared" si="35"/>
        <v>0</v>
      </c>
      <c r="CU29">
        <f t="shared" si="36"/>
        <v>0</v>
      </c>
      <c r="CV29">
        <f t="shared" si="37"/>
        <v>0</v>
      </c>
      <c r="CW29">
        <f t="shared" si="38"/>
        <v>0</v>
      </c>
      <c r="CX29">
        <f t="shared" si="39"/>
        <v>0</v>
      </c>
      <c r="CY29">
        <f t="shared" si="40"/>
        <v>0</v>
      </c>
      <c r="CZ29">
        <f t="shared" si="41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1009</v>
      </c>
      <c r="DV29" t="s">
        <v>29</v>
      </c>
      <c r="DW29" t="s">
        <v>29</v>
      </c>
      <c r="DX29">
        <v>1000</v>
      </c>
      <c r="EE29">
        <v>298189190</v>
      </c>
      <c r="EF29">
        <v>160</v>
      </c>
      <c r="EG29" t="s">
        <v>23</v>
      </c>
      <c r="EH29">
        <v>0</v>
      </c>
      <c r="EI29" t="s">
        <v>3</v>
      </c>
      <c r="EJ29">
        <v>1</v>
      </c>
      <c r="EK29">
        <v>1114</v>
      </c>
      <c r="EL29" t="s">
        <v>24</v>
      </c>
      <c r="EM29" t="s">
        <v>25</v>
      </c>
      <c r="EO29" t="s">
        <v>3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42"/>
        <v>0</v>
      </c>
      <c r="FS29">
        <v>0</v>
      </c>
      <c r="FX29">
        <v>0</v>
      </c>
      <c r="FY29">
        <v>0</v>
      </c>
      <c r="GA29" t="s">
        <v>3</v>
      </c>
      <c r="GD29">
        <v>0</v>
      </c>
      <c r="GF29">
        <v>1489638031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3"/>
        <v>0</v>
      </c>
      <c r="GM29">
        <f>ROUND(O29+X29+Y29+GK29,2)+GX29</f>
        <v>0</v>
      </c>
      <c r="GN29">
        <f>IF(OR(BI29=0,BI29=1),ROUND(O29+X29+Y29+GK29,2),0)</f>
        <v>0</v>
      </c>
      <c r="GO29">
        <f>IF(BI29=2,ROUND(O29+X29+Y29+GK29,2),0)</f>
        <v>0</v>
      </c>
      <c r="GP29">
        <f>IF(BI29=4,ROUND(O29+X29+Y29+GK29,2)+GX29,0)</f>
        <v>0</v>
      </c>
      <c r="GR29">
        <v>0</v>
      </c>
      <c r="GS29">
        <v>3</v>
      </c>
      <c r="GT29">
        <v>0</v>
      </c>
      <c r="GU29" t="s">
        <v>3</v>
      </c>
      <c r="GV29">
        <f t="shared" si="44"/>
        <v>0</v>
      </c>
      <c r="GW29">
        <v>1</v>
      </c>
      <c r="GX29">
        <f t="shared" si="45"/>
        <v>0</v>
      </c>
      <c r="HA29">
        <v>0</v>
      </c>
      <c r="HB29">
        <v>0</v>
      </c>
      <c r="HC29">
        <f t="shared" si="46"/>
        <v>0</v>
      </c>
      <c r="IK29">
        <v>0</v>
      </c>
    </row>
    <row r="30" spans="1:245" x14ac:dyDescent="0.2">
      <c r="A30">
        <v>18</v>
      </c>
      <c r="B30">
        <v>1</v>
      </c>
      <c r="C30">
        <v>3</v>
      </c>
      <c r="E30" t="s">
        <v>30</v>
      </c>
      <c r="F30" t="s">
        <v>31</v>
      </c>
      <c r="G30" t="s">
        <v>32</v>
      </c>
      <c r="H30" t="s">
        <v>33</v>
      </c>
      <c r="I30">
        <f>I28*J30</f>
        <v>13.047668</v>
      </c>
      <c r="J30">
        <v>0.68312397905759159</v>
      </c>
      <c r="O30">
        <f t="shared" si="21"/>
        <v>0</v>
      </c>
      <c r="P30">
        <f t="shared" si="22"/>
        <v>0</v>
      </c>
      <c r="Q30">
        <f>(ROUND((ROUND(((ET30)*AV30*I30),2)*BB30),2)+ROUND((ROUND(((AE30-(EU30))*AV30*I30),2)*BS30),2))</f>
        <v>0</v>
      </c>
      <c r="R30">
        <f t="shared" si="23"/>
        <v>0</v>
      </c>
      <c r="S30">
        <f>ROUND((ROUND((AF30*AV30*I30),2)*BA30),2)</f>
        <v>0</v>
      </c>
      <c r="T30">
        <f t="shared" si="24"/>
        <v>0</v>
      </c>
      <c r="U30">
        <f t="shared" si="25"/>
        <v>0</v>
      </c>
      <c r="V30">
        <f t="shared" si="26"/>
        <v>0</v>
      </c>
      <c r="W30">
        <f t="shared" si="27"/>
        <v>0</v>
      </c>
      <c r="X30">
        <f t="shared" si="28"/>
        <v>0</v>
      </c>
      <c r="Y30">
        <f t="shared" si="29"/>
        <v>0</v>
      </c>
      <c r="AA30">
        <v>309315610</v>
      </c>
      <c r="AB30">
        <f>ROUND((AC30+AD30+AF30),6)</f>
        <v>0</v>
      </c>
      <c r="AC30">
        <f t="shared" si="47"/>
        <v>0</v>
      </c>
      <c r="AD30">
        <f>ROUND((((ET30)-(EU30))+AE30),6)</f>
        <v>0</v>
      </c>
      <c r="AE30">
        <f>ROUND((EU30),6)</f>
        <v>0</v>
      </c>
      <c r="AF30">
        <f>ROUND((EV30),6)</f>
        <v>0</v>
      </c>
      <c r="AG30">
        <f t="shared" si="30"/>
        <v>0</v>
      </c>
      <c r="AH30">
        <f>(EW30)</f>
        <v>0</v>
      </c>
      <c r="AI30">
        <f>(EX30)</f>
        <v>0</v>
      </c>
      <c r="AJ30">
        <f t="shared" si="31"/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1</v>
      </c>
      <c r="BJ30" t="s">
        <v>3</v>
      </c>
      <c r="BM30">
        <v>1114</v>
      </c>
      <c r="BN30">
        <v>0</v>
      </c>
      <c r="BO30" t="s">
        <v>3</v>
      </c>
      <c r="BP30">
        <v>0</v>
      </c>
      <c r="BQ30">
        <v>160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0</v>
      </c>
      <c r="CA30">
        <v>0</v>
      </c>
      <c r="CE30">
        <v>30</v>
      </c>
      <c r="CF30">
        <v>0</v>
      </c>
      <c r="CG30">
        <v>0</v>
      </c>
      <c r="CM30">
        <v>0</v>
      </c>
      <c r="CN30" t="s">
        <v>19</v>
      </c>
      <c r="CO30">
        <v>0</v>
      </c>
      <c r="CP30">
        <f t="shared" si="32"/>
        <v>0</v>
      </c>
      <c r="CQ30">
        <f t="shared" si="33"/>
        <v>0</v>
      </c>
      <c r="CR30">
        <f>(ROUND((ROUND(((ET30)*AV30*1),2)*BB30),2)+ROUND((ROUND(((AE30-(EU30))*AV30*1),2)*BS30),2))</f>
        <v>0</v>
      </c>
      <c r="CS30">
        <f t="shared" si="34"/>
        <v>0</v>
      </c>
      <c r="CT30">
        <f t="shared" si="35"/>
        <v>0</v>
      </c>
      <c r="CU30">
        <f t="shared" si="36"/>
        <v>0</v>
      </c>
      <c r="CV30">
        <f t="shared" si="37"/>
        <v>0</v>
      </c>
      <c r="CW30">
        <f t="shared" si="38"/>
        <v>0</v>
      </c>
      <c r="CX30">
        <f t="shared" si="39"/>
        <v>0</v>
      </c>
      <c r="CY30">
        <f t="shared" si="40"/>
        <v>0</v>
      </c>
      <c r="CZ30">
        <f t="shared" si="41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33</v>
      </c>
      <c r="DW30" t="s">
        <v>33</v>
      </c>
      <c r="DX30">
        <v>1</v>
      </c>
      <c r="EE30">
        <v>298189190</v>
      </c>
      <c r="EF30">
        <v>160</v>
      </c>
      <c r="EG30" t="s">
        <v>23</v>
      </c>
      <c r="EH30">
        <v>0</v>
      </c>
      <c r="EI30" t="s">
        <v>3</v>
      </c>
      <c r="EJ30">
        <v>1</v>
      </c>
      <c r="EK30">
        <v>1114</v>
      </c>
      <c r="EL30" t="s">
        <v>24</v>
      </c>
      <c r="EM30" t="s">
        <v>25</v>
      </c>
      <c r="EO30" t="s">
        <v>3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FQ30">
        <v>0</v>
      </c>
      <c r="FR30">
        <f t="shared" si="42"/>
        <v>0</v>
      </c>
      <c r="FS30">
        <v>0</v>
      </c>
      <c r="FX30">
        <v>0</v>
      </c>
      <c r="FY30">
        <v>0</v>
      </c>
      <c r="GA30" t="s">
        <v>3</v>
      </c>
      <c r="GD30">
        <v>0</v>
      </c>
      <c r="GF30">
        <v>179728826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43"/>
        <v>0</v>
      </c>
      <c r="GM30">
        <f>ROUND(O30+X30+Y30+GK30,2)+GX30</f>
        <v>0</v>
      </c>
      <c r="GN30">
        <f>IF(OR(BI30=0,BI30=1),ROUND(O30+X30+Y30+GK30,2),0)</f>
        <v>0</v>
      </c>
      <c r="GO30">
        <f>IF(BI30=2,ROUND(O30+X30+Y30+GK30,2),0)</f>
        <v>0</v>
      </c>
      <c r="GP30">
        <f>IF(BI30=4,ROUND(O30+X30+Y30+GK30,2)+GX30,0)</f>
        <v>0</v>
      </c>
      <c r="GR30">
        <v>0</v>
      </c>
      <c r="GS30">
        <v>3</v>
      </c>
      <c r="GT30">
        <v>0</v>
      </c>
      <c r="GU30" t="s">
        <v>3</v>
      </c>
      <c r="GV30">
        <f t="shared" si="44"/>
        <v>0</v>
      </c>
      <c r="GW30">
        <v>1</v>
      </c>
      <c r="GX30">
        <f t="shared" si="45"/>
        <v>0</v>
      </c>
      <c r="HA30">
        <v>0</v>
      </c>
      <c r="HB30">
        <v>0</v>
      </c>
      <c r="HC30">
        <f t="shared" si="46"/>
        <v>0</v>
      </c>
      <c r="IK30">
        <v>0</v>
      </c>
    </row>
    <row r="31" spans="1:245" x14ac:dyDescent="0.2">
      <c r="A31">
        <v>17</v>
      </c>
      <c r="B31">
        <v>1</v>
      </c>
      <c r="C31">
        <f>ROW(SmtRes!A5)</f>
        <v>5</v>
      </c>
      <c r="D31">
        <f>ROW(EtalonRes!A5)</f>
        <v>5</v>
      </c>
      <c r="E31" t="s">
        <v>34</v>
      </c>
      <c r="F31" t="s">
        <v>35</v>
      </c>
      <c r="G31" t="s">
        <v>36</v>
      </c>
      <c r="H31" t="s">
        <v>37</v>
      </c>
      <c r="I31">
        <f>ROUND(I28*10,9)</f>
        <v>191</v>
      </c>
      <c r="J31">
        <v>0</v>
      </c>
      <c r="O31">
        <f t="shared" si="21"/>
        <v>108858.54</v>
      </c>
      <c r="P31">
        <f t="shared" si="22"/>
        <v>108858.54</v>
      </c>
      <c r="Q31">
        <f>0</f>
        <v>0</v>
      </c>
      <c r="R31">
        <f t="shared" si="23"/>
        <v>0</v>
      </c>
      <c r="S31">
        <f>0</f>
        <v>0</v>
      </c>
      <c r="T31">
        <f t="shared" si="24"/>
        <v>0</v>
      </c>
      <c r="U31">
        <f t="shared" si="25"/>
        <v>0</v>
      </c>
      <c r="V31">
        <f t="shared" si="26"/>
        <v>0</v>
      </c>
      <c r="W31">
        <f t="shared" si="27"/>
        <v>0</v>
      </c>
      <c r="X31">
        <f t="shared" si="28"/>
        <v>0</v>
      </c>
      <c r="Y31">
        <f t="shared" si="29"/>
        <v>0</v>
      </c>
      <c r="AA31">
        <v>309315610</v>
      </c>
      <c r="AB31">
        <f>ROUND((AC31+0+0),6)</f>
        <v>69</v>
      </c>
      <c r="AC31">
        <f t="shared" si="47"/>
        <v>69</v>
      </c>
      <c r="AD31">
        <f>ROUND(((((ET31*1.15))-((EU31*1.15)))+AE31),6)</f>
        <v>34.5</v>
      </c>
      <c r="AE31">
        <f>ROUND(((EU31*1.15)),6)</f>
        <v>0</v>
      </c>
      <c r="AF31">
        <f>ROUND(((EV31*1.15)),6)</f>
        <v>47.15</v>
      </c>
      <c r="AG31">
        <f t="shared" si="30"/>
        <v>0</v>
      </c>
      <c r="AH31">
        <f>((EW31*1.15))</f>
        <v>0</v>
      </c>
      <c r="AI31">
        <f>((EX31*1.15))</f>
        <v>0</v>
      </c>
      <c r="AJ31">
        <f t="shared" si="31"/>
        <v>0</v>
      </c>
      <c r="AK31">
        <v>140</v>
      </c>
      <c r="AL31">
        <v>69</v>
      </c>
      <c r="AM31">
        <v>30</v>
      </c>
      <c r="AN31">
        <v>0</v>
      </c>
      <c r="AO31">
        <v>41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18.899999999999999</v>
      </c>
      <c r="BB31">
        <v>7.73</v>
      </c>
      <c r="BC31">
        <v>8.26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38</v>
      </c>
      <c r="BM31">
        <v>1114</v>
      </c>
      <c r="BN31">
        <v>0</v>
      </c>
      <c r="BO31" t="s">
        <v>35</v>
      </c>
      <c r="BP31">
        <v>1</v>
      </c>
      <c r="BQ31">
        <v>160</v>
      </c>
      <c r="BR31">
        <v>0</v>
      </c>
      <c r="BS31">
        <v>18.899999999999999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E31">
        <v>30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2"/>
        <v>108858.54</v>
      </c>
      <c r="CQ31">
        <f t="shared" si="33"/>
        <v>569.94000000000005</v>
      </c>
      <c r="CR31">
        <f>(ROUND((ROUND((((ET31*1.15))*AV31*1),2)*BB31),2)+ROUND((ROUND(((AE31-((EU31*1.15)))*AV31*1),2)*BS31),2))</f>
        <v>266.69</v>
      </c>
      <c r="CS31">
        <f t="shared" si="34"/>
        <v>0</v>
      </c>
      <c r="CT31">
        <f t="shared" si="35"/>
        <v>891.14</v>
      </c>
      <c r="CU31">
        <f t="shared" si="36"/>
        <v>0</v>
      </c>
      <c r="CV31">
        <f t="shared" si="37"/>
        <v>0</v>
      </c>
      <c r="CW31">
        <f t="shared" si="38"/>
        <v>0</v>
      </c>
      <c r="CX31">
        <f t="shared" si="39"/>
        <v>0</v>
      </c>
      <c r="CY31">
        <f t="shared" si="40"/>
        <v>0</v>
      </c>
      <c r="CZ31">
        <f t="shared" si="41"/>
        <v>0</v>
      </c>
      <c r="DC31" t="s">
        <v>3</v>
      </c>
      <c r="DD31" t="s">
        <v>3</v>
      </c>
      <c r="DE31" t="s">
        <v>39</v>
      </c>
      <c r="DF31" t="s">
        <v>39</v>
      </c>
      <c r="DG31" t="s">
        <v>39</v>
      </c>
      <c r="DH31" t="s">
        <v>3</v>
      </c>
      <c r="DI31" t="s">
        <v>39</v>
      </c>
      <c r="DJ31" t="s">
        <v>39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37</v>
      </c>
      <c r="DW31" t="s">
        <v>37</v>
      </c>
      <c r="DX31">
        <v>1</v>
      </c>
      <c r="EE31">
        <v>298189190</v>
      </c>
      <c r="EF31">
        <v>160</v>
      </c>
      <c r="EG31" t="s">
        <v>23</v>
      </c>
      <c r="EH31">
        <v>0</v>
      </c>
      <c r="EI31" t="s">
        <v>3</v>
      </c>
      <c r="EJ31">
        <v>1</v>
      </c>
      <c r="EK31">
        <v>1114</v>
      </c>
      <c r="EL31" t="s">
        <v>24</v>
      </c>
      <c r="EM31" t="s">
        <v>25</v>
      </c>
      <c r="EO31" t="s">
        <v>3</v>
      </c>
      <c r="EQ31">
        <v>768</v>
      </c>
      <c r="ER31">
        <v>140</v>
      </c>
      <c r="ES31">
        <v>69</v>
      </c>
      <c r="ET31">
        <v>30</v>
      </c>
      <c r="EU31">
        <v>0</v>
      </c>
      <c r="EV31">
        <v>41</v>
      </c>
      <c r="EW31">
        <v>0</v>
      </c>
      <c r="EX31">
        <v>0</v>
      </c>
      <c r="EY31">
        <v>1</v>
      </c>
      <c r="FQ31">
        <v>0</v>
      </c>
      <c r="FR31">
        <f t="shared" si="42"/>
        <v>0</v>
      </c>
      <c r="FS31">
        <v>0</v>
      </c>
      <c r="FX31">
        <v>0</v>
      </c>
      <c r="FY31">
        <v>0</v>
      </c>
      <c r="GA31" t="s">
        <v>3</v>
      </c>
      <c r="GD31">
        <v>1</v>
      </c>
      <c r="GF31">
        <v>-1502472745</v>
      </c>
      <c r="GG31">
        <v>2</v>
      </c>
      <c r="GH31">
        <v>1</v>
      </c>
      <c r="GI31">
        <v>2</v>
      </c>
      <c r="GJ31">
        <v>3</v>
      </c>
      <c r="GK31">
        <v>0</v>
      </c>
      <c r="GL31">
        <f t="shared" si="43"/>
        <v>0</v>
      </c>
      <c r="GM31">
        <f>ROUND(P31+GY31+GZ31,2)+GX31</f>
        <v>330002.17</v>
      </c>
      <c r="GN31">
        <f>IF(OR(BI31=0,BI31=1),ROUND(P31+GY31+GZ31,2),0)</f>
        <v>330002.17</v>
      </c>
      <c r="GO31">
        <f>IF(BI31=2,ROUND(P31+GY31+GZ31,2),0)</f>
        <v>0</v>
      </c>
      <c r="GP31">
        <f>IF(BI31=4,ROUND(P31+GY31+GZ31,2)+GX31,0)</f>
        <v>0</v>
      </c>
      <c r="GR31">
        <v>0</v>
      </c>
      <c r="GS31">
        <v>0</v>
      </c>
      <c r="GT31">
        <v>0</v>
      </c>
      <c r="GU31" t="s">
        <v>3</v>
      </c>
      <c r="GV31">
        <f t="shared" si="44"/>
        <v>0</v>
      </c>
      <c r="GW31">
        <v>1</v>
      </c>
      <c r="GX31">
        <f t="shared" si="45"/>
        <v>0</v>
      </c>
      <c r="GY31">
        <f>(ROUND((ROUND((((ET31*1.15))*AV31*I31),2)*BB31),2)+ROUND((ROUND(((AE31-((EU31*1.15)))*AV31*I31),2)*BS31),2))</f>
        <v>50936.84</v>
      </c>
      <c r="GZ31">
        <f>ROUND((ROUND((AF31*AV31*I31),2)*BA31),2)</f>
        <v>170206.79</v>
      </c>
      <c r="HA31">
        <v>0.2</v>
      </c>
      <c r="HB31">
        <v>0</v>
      </c>
      <c r="HC31">
        <f t="shared" si="46"/>
        <v>0</v>
      </c>
      <c r="IK31">
        <v>0</v>
      </c>
    </row>
    <row r="32" spans="1:245" x14ac:dyDescent="0.2">
      <c r="A32">
        <v>18</v>
      </c>
      <c r="B32">
        <v>1</v>
      </c>
      <c r="C32">
        <v>5</v>
      </c>
      <c r="E32" t="s">
        <v>40</v>
      </c>
      <c r="F32" t="s">
        <v>31</v>
      </c>
      <c r="G32" t="s">
        <v>32</v>
      </c>
      <c r="H32" t="s">
        <v>33</v>
      </c>
      <c r="I32">
        <f>I31*J32</f>
        <v>38.200000000000003</v>
      </c>
      <c r="J32">
        <v>0.2</v>
      </c>
      <c r="O32">
        <f t="shared" si="21"/>
        <v>0</v>
      </c>
      <c r="P32">
        <f t="shared" si="22"/>
        <v>0</v>
      </c>
      <c r="Q32">
        <f>(ROUND((ROUND(((ET32)*AV32*I32),2)*BB32),2)+ROUND((ROUND(((AE32-(EU32))*AV32*I32),2)*BS32),2))</f>
        <v>0</v>
      </c>
      <c r="R32">
        <f t="shared" si="23"/>
        <v>0</v>
      </c>
      <c r="S32">
        <f t="shared" ref="S32:S37" si="48">ROUND((ROUND((AF32*AV32*I32),2)*BA32),2)</f>
        <v>0</v>
      </c>
      <c r="T32">
        <f t="shared" si="24"/>
        <v>0</v>
      </c>
      <c r="U32">
        <f t="shared" si="25"/>
        <v>0</v>
      </c>
      <c r="V32">
        <f t="shared" si="26"/>
        <v>0</v>
      </c>
      <c r="W32">
        <f t="shared" si="27"/>
        <v>0</v>
      </c>
      <c r="X32">
        <f t="shared" si="28"/>
        <v>0</v>
      </c>
      <c r="Y32">
        <f t="shared" si="29"/>
        <v>0</v>
      </c>
      <c r="AA32">
        <v>309315610</v>
      </c>
      <c r="AB32">
        <f t="shared" ref="AB32:AB37" si="49">ROUND((AC32+AD32+AF32),6)</f>
        <v>0</v>
      </c>
      <c r="AC32">
        <f t="shared" si="47"/>
        <v>0</v>
      </c>
      <c r="AD32">
        <f>ROUND((((ET32)-(EU32))+AE32),6)</f>
        <v>0</v>
      </c>
      <c r="AE32">
        <f t="shared" ref="AE32:AF37" si="50">ROUND((EU32),6)</f>
        <v>0</v>
      </c>
      <c r="AF32">
        <f t="shared" si="50"/>
        <v>0</v>
      </c>
      <c r="AG32">
        <f t="shared" si="30"/>
        <v>0</v>
      </c>
      <c r="AH32">
        <f t="shared" ref="AH32:AI37" si="51">(EW32)</f>
        <v>0</v>
      </c>
      <c r="AI32">
        <f t="shared" si="51"/>
        <v>0</v>
      </c>
      <c r="AJ32">
        <f t="shared" si="31"/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3</v>
      </c>
      <c r="BI32">
        <v>1</v>
      </c>
      <c r="BJ32" t="s">
        <v>3</v>
      </c>
      <c r="BM32">
        <v>1114</v>
      </c>
      <c r="BN32">
        <v>0</v>
      </c>
      <c r="BO32" t="s">
        <v>3</v>
      </c>
      <c r="BP32">
        <v>0</v>
      </c>
      <c r="BQ32">
        <v>160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0</v>
      </c>
      <c r="CA32">
        <v>0</v>
      </c>
      <c r="CE32">
        <v>30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2"/>
        <v>0</v>
      </c>
      <c r="CQ32">
        <f t="shared" si="33"/>
        <v>0</v>
      </c>
      <c r="CR32">
        <f>(ROUND((ROUND(((ET32)*AV32*1),2)*BB32),2)+ROUND((ROUND(((AE32-(EU32))*AV32*1),2)*BS32),2))</f>
        <v>0</v>
      </c>
      <c r="CS32">
        <f t="shared" si="34"/>
        <v>0</v>
      </c>
      <c r="CT32">
        <f t="shared" si="35"/>
        <v>0</v>
      </c>
      <c r="CU32">
        <f t="shared" si="36"/>
        <v>0</v>
      </c>
      <c r="CV32">
        <f t="shared" si="37"/>
        <v>0</v>
      </c>
      <c r="CW32">
        <f t="shared" si="38"/>
        <v>0</v>
      </c>
      <c r="CX32">
        <f t="shared" si="39"/>
        <v>0</v>
      </c>
      <c r="CY32">
        <f t="shared" si="40"/>
        <v>0</v>
      </c>
      <c r="CZ32">
        <f t="shared" si="41"/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33</v>
      </c>
      <c r="DW32" t="s">
        <v>33</v>
      </c>
      <c r="DX32">
        <v>1</v>
      </c>
      <c r="EE32">
        <v>298189190</v>
      </c>
      <c r="EF32">
        <v>160</v>
      </c>
      <c r="EG32" t="s">
        <v>23</v>
      </c>
      <c r="EH32">
        <v>0</v>
      </c>
      <c r="EI32" t="s">
        <v>3</v>
      </c>
      <c r="EJ32">
        <v>1</v>
      </c>
      <c r="EK32">
        <v>1114</v>
      </c>
      <c r="EL32" t="s">
        <v>24</v>
      </c>
      <c r="EM32" t="s">
        <v>25</v>
      </c>
      <c r="EO32" t="s">
        <v>3</v>
      </c>
      <c r="EQ32">
        <v>768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FQ32">
        <v>0</v>
      </c>
      <c r="FR32">
        <f t="shared" si="42"/>
        <v>0</v>
      </c>
      <c r="FS32">
        <v>0</v>
      </c>
      <c r="FX32">
        <v>0</v>
      </c>
      <c r="FY32">
        <v>0</v>
      </c>
      <c r="GA32" t="s">
        <v>3</v>
      </c>
      <c r="GD32">
        <v>0</v>
      </c>
      <c r="GF32">
        <v>179728826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43"/>
        <v>0</v>
      </c>
      <c r="GM32">
        <f>ROUND(O32+X32+Y32+GK32,2)+GX32</f>
        <v>0</v>
      </c>
      <c r="GN32">
        <f>IF(OR(BI32=0,BI32=1),ROUND(O32+X32+Y32+GK32,2),0)</f>
        <v>0</v>
      </c>
      <c r="GO32">
        <f>IF(BI32=2,ROUND(O32+X32+Y32+GK32,2),0)</f>
        <v>0</v>
      </c>
      <c r="GP32">
        <f>IF(BI32=4,ROUND(O32+X32+Y32+GK32,2)+GX32,0)</f>
        <v>0</v>
      </c>
      <c r="GR32">
        <v>0</v>
      </c>
      <c r="GS32">
        <v>0</v>
      </c>
      <c r="GT32">
        <v>0</v>
      </c>
      <c r="GU32" t="s">
        <v>3</v>
      </c>
      <c r="GV32">
        <f t="shared" si="44"/>
        <v>0</v>
      </c>
      <c r="GW32">
        <v>1</v>
      </c>
      <c r="GX32">
        <f t="shared" si="45"/>
        <v>0</v>
      </c>
      <c r="HA32">
        <v>0</v>
      </c>
      <c r="HB32">
        <v>0</v>
      </c>
      <c r="HC32">
        <f t="shared" si="46"/>
        <v>0</v>
      </c>
      <c r="IK32">
        <v>0</v>
      </c>
    </row>
    <row r="33" spans="1:245" x14ac:dyDescent="0.2">
      <c r="A33">
        <v>17</v>
      </c>
      <c r="B33">
        <v>1</v>
      </c>
      <c r="C33">
        <f>ROW(SmtRes!A8)</f>
        <v>8</v>
      </c>
      <c r="D33">
        <f>ROW(EtalonRes!A8)</f>
        <v>8</v>
      </c>
      <c r="E33" t="s">
        <v>41</v>
      </c>
      <c r="F33" t="s">
        <v>42</v>
      </c>
      <c r="G33" t="s">
        <v>43</v>
      </c>
      <c r="H33" t="s">
        <v>44</v>
      </c>
      <c r="I33">
        <f>ROUND((I30+I32)/100,4)</f>
        <v>0.51249999999999996</v>
      </c>
      <c r="J33">
        <v>0</v>
      </c>
      <c r="O33">
        <f t="shared" si="21"/>
        <v>4321.8500000000004</v>
      </c>
      <c r="P33">
        <f t="shared" si="22"/>
        <v>0</v>
      </c>
      <c r="Q33">
        <f>(ROUND((ROUND(((ET33)*AV33*I33),2)*BB33),2)+ROUND((ROUND(((AE33-(EU33))*AV33*I33),2)*BS33),2))</f>
        <v>4137.34</v>
      </c>
      <c r="R33">
        <f t="shared" si="23"/>
        <v>1839.12</v>
      </c>
      <c r="S33">
        <f t="shared" si="48"/>
        <v>184.51</v>
      </c>
      <c r="T33">
        <f t="shared" si="24"/>
        <v>0</v>
      </c>
      <c r="U33">
        <f t="shared" si="25"/>
        <v>0.84304199999999985</v>
      </c>
      <c r="V33">
        <f t="shared" si="26"/>
        <v>0</v>
      </c>
      <c r="W33">
        <f t="shared" si="27"/>
        <v>0</v>
      </c>
      <c r="X33">
        <f t="shared" si="28"/>
        <v>169.75</v>
      </c>
      <c r="Y33">
        <f t="shared" si="29"/>
        <v>92.26</v>
      </c>
      <c r="AA33">
        <v>309315610</v>
      </c>
      <c r="AB33">
        <f t="shared" si="49"/>
        <v>771.65</v>
      </c>
      <c r="AC33">
        <f t="shared" si="47"/>
        <v>0</v>
      </c>
      <c r="AD33">
        <f>ROUND((((ET33)-(EU33))+AE33),6)</f>
        <v>757.55</v>
      </c>
      <c r="AE33">
        <f t="shared" si="50"/>
        <v>140.47999999999999</v>
      </c>
      <c r="AF33">
        <f t="shared" si="50"/>
        <v>14.1</v>
      </c>
      <c r="AG33">
        <f t="shared" si="30"/>
        <v>0</v>
      </c>
      <c r="AH33">
        <f t="shared" si="51"/>
        <v>1.38</v>
      </c>
      <c r="AI33">
        <f t="shared" si="51"/>
        <v>0</v>
      </c>
      <c r="AJ33">
        <f t="shared" si="31"/>
        <v>0</v>
      </c>
      <c r="AK33">
        <v>771.65</v>
      </c>
      <c r="AL33">
        <v>0</v>
      </c>
      <c r="AM33">
        <v>757.55</v>
      </c>
      <c r="AN33">
        <v>140.47999999999999</v>
      </c>
      <c r="AO33">
        <v>14.1</v>
      </c>
      <c r="AP33">
        <v>0</v>
      </c>
      <c r="AQ33">
        <v>1.38</v>
      </c>
      <c r="AR33">
        <v>0</v>
      </c>
      <c r="AS33">
        <v>0</v>
      </c>
      <c r="AT33">
        <v>92</v>
      </c>
      <c r="AU33">
        <v>50</v>
      </c>
      <c r="AV33">
        <v>1.1919999999999999</v>
      </c>
      <c r="AW33">
        <v>1</v>
      </c>
      <c r="AZ33">
        <v>1</v>
      </c>
      <c r="BA33">
        <v>21.43</v>
      </c>
      <c r="BB33">
        <v>8.94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45</v>
      </c>
      <c r="BM33">
        <v>2</v>
      </c>
      <c r="BN33">
        <v>0</v>
      </c>
      <c r="BO33" t="s">
        <v>42</v>
      </c>
      <c r="BP33">
        <v>1</v>
      </c>
      <c r="BQ33">
        <v>30</v>
      </c>
      <c r="BR33">
        <v>0</v>
      </c>
      <c r="BS33">
        <v>21.43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92</v>
      </c>
      <c r="CA33">
        <v>50</v>
      </c>
      <c r="CE33">
        <v>30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2"/>
        <v>4321.8500000000004</v>
      </c>
      <c r="CQ33">
        <f t="shared" si="33"/>
        <v>0</v>
      </c>
      <c r="CR33">
        <f>(ROUND((ROUND(((ET33)*AV33*1),2)*BB33),2)+ROUND((ROUND(((AE33-(EU33))*AV33*1),2)*BS33),2))</f>
        <v>8072.82</v>
      </c>
      <c r="CS33">
        <f t="shared" si="34"/>
        <v>3588.45</v>
      </c>
      <c r="CT33">
        <f t="shared" si="35"/>
        <v>360.24</v>
      </c>
      <c r="CU33">
        <f t="shared" si="36"/>
        <v>0</v>
      </c>
      <c r="CV33">
        <f t="shared" si="37"/>
        <v>1.6449599999999998</v>
      </c>
      <c r="CW33">
        <f t="shared" si="38"/>
        <v>0</v>
      </c>
      <c r="CX33">
        <f t="shared" si="39"/>
        <v>0</v>
      </c>
      <c r="CY33">
        <f t="shared" si="40"/>
        <v>169.7492</v>
      </c>
      <c r="CZ33">
        <f t="shared" si="41"/>
        <v>92.254999999999995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98</v>
      </c>
      <c r="DO33">
        <v>77</v>
      </c>
      <c r="DP33">
        <v>1.1919999999999999</v>
      </c>
      <c r="DQ33">
        <v>1</v>
      </c>
      <c r="DU33">
        <v>1013</v>
      </c>
      <c r="DV33" t="s">
        <v>44</v>
      </c>
      <c r="DW33" t="s">
        <v>44</v>
      </c>
      <c r="DX33">
        <v>1</v>
      </c>
      <c r="EE33">
        <v>298188122</v>
      </c>
      <c r="EF33">
        <v>30</v>
      </c>
      <c r="EG33" t="s">
        <v>46</v>
      </c>
      <c r="EH33">
        <v>0</v>
      </c>
      <c r="EI33" t="s">
        <v>3</v>
      </c>
      <c r="EJ33">
        <v>1</v>
      </c>
      <c r="EK33">
        <v>2</v>
      </c>
      <c r="EL33" t="s">
        <v>47</v>
      </c>
      <c r="EM33" t="s">
        <v>48</v>
      </c>
      <c r="EO33" t="s">
        <v>3</v>
      </c>
      <c r="EQ33">
        <v>768</v>
      </c>
      <c r="ER33">
        <v>771.65</v>
      </c>
      <c r="ES33">
        <v>0</v>
      </c>
      <c r="ET33">
        <v>757.55</v>
      </c>
      <c r="EU33">
        <v>140.47999999999999</v>
      </c>
      <c r="EV33">
        <v>14.1</v>
      </c>
      <c r="EW33">
        <v>1.38</v>
      </c>
      <c r="EX33">
        <v>0</v>
      </c>
      <c r="EY33">
        <v>0</v>
      </c>
      <c r="FQ33">
        <v>0</v>
      </c>
      <c r="FR33">
        <f t="shared" si="42"/>
        <v>0</v>
      </c>
      <c r="FS33">
        <v>0</v>
      </c>
      <c r="FX33">
        <v>98</v>
      </c>
      <c r="FY33">
        <v>77</v>
      </c>
      <c r="GA33" t="s">
        <v>3</v>
      </c>
      <c r="GD33">
        <v>0</v>
      </c>
      <c r="GF33">
        <v>445216503</v>
      </c>
      <c r="GG33">
        <v>2</v>
      </c>
      <c r="GH33">
        <v>1</v>
      </c>
      <c r="GI33">
        <v>2</v>
      </c>
      <c r="GJ33">
        <v>0</v>
      </c>
      <c r="GK33">
        <f>ROUND(R33*(R12)/100,2)</f>
        <v>2887.42</v>
      </c>
      <c r="GL33">
        <f t="shared" si="43"/>
        <v>0</v>
      </c>
      <c r="GM33">
        <f>ROUND(O33+X33+Y33+GK33,2)+GX33</f>
        <v>7471.28</v>
      </c>
      <c r="GN33">
        <f>IF(OR(BI33=0,BI33=1),ROUND(O33+X33+Y33+GK33,2),0)</f>
        <v>7471.28</v>
      </c>
      <c r="GO33">
        <f>IF(BI33=2,ROUND(O33+X33+Y33+GK33,2),0)</f>
        <v>0</v>
      </c>
      <c r="GP33">
        <f>IF(BI33=4,ROUND(O33+X33+Y33+GK33,2)+GX33,0)</f>
        <v>0</v>
      </c>
      <c r="GR33">
        <v>0</v>
      </c>
      <c r="GS33">
        <v>0</v>
      </c>
      <c r="GT33">
        <v>0</v>
      </c>
      <c r="GU33" t="s">
        <v>3</v>
      </c>
      <c r="GV33">
        <f t="shared" si="44"/>
        <v>0</v>
      </c>
      <c r="GW33">
        <v>1</v>
      </c>
      <c r="GX33">
        <f t="shared" si="45"/>
        <v>0</v>
      </c>
      <c r="HA33">
        <v>0</v>
      </c>
      <c r="HB33">
        <v>0</v>
      </c>
      <c r="HC33">
        <f t="shared" si="46"/>
        <v>0</v>
      </c>
      <c r="IK33">
        <v>0</v>
      </c>
    </row>
    <row r="34" spans="1:245" x14ac:dyDescent="0.2">
      <c r="A34">
        <v>17</v>
      </c>
      <c r="B34">
        <v>1</v>
      </c>
      <c r="C34">
        <f>ROW(SmtRes!A9)</f>
        <v>9</v>
      </c>
      <c r="D34">
        <f>ROW(EtalonRes!A9)</f>
        <v>9</v>
      </c>
      <c r="E34" t="s">
        <v>49</v>
      </c>
      <c r="F34" t="s">
        <v>50</v>
      </c>
      <c r="G34" t="s">
        <v>51</v>
      </c>
      <c r="H34" t="s">
        <v>52</v>
      </c>
      <c r="I34">
        <f>ROUND(I33*100,9)</f>
        <v>51.25</v>
      </c>
      <c r="J34">
        <v>0</v>
      </c>
      <c r="O34">
        <f t="shared" si="21"/>
        <v>22159.25</v>
      </c>
      <c r="P34">
        <f t="shared" si="22"/>
        <v>0</v>
      </c>
      <c r="Q34">
        <f>(ROUND((ROUND(((ET34+(SUM(SmtRes!BD9:'SmtRes'!BD9)+SUM(EtalonRes!AM9:'EtalonRes'!AM9)))*AV34*I34),2)*BB34),2)+ROUND((ROUND(((AE34-(EU34))*AV34*I34),2)*BS34),2))</f>
        <v>22159.25</v>
      </c>
      <c r="R34">
        <f t="shared" si="23"/>
        <v>0</v>
      </c>
      <c r="S34">
        <f t="shared" si="48"/>
        <v>0</v>
      </c>
      <c r="T34">
        <f t="shared" si="24"/>
        <v>0</v>
      </c>
      <c r="U34">
        <f t="shared" si="25"/>
        <v>0</v>
      </c>
      <c r="V34">
        <f t="shared" si="26"/>
        <v>0</v>
      </c>
      <c r="W34">
        <f t="shared" si="27"/>
        <v>0</v>
      </c>
      <c r="X34">
        <f t="shared" si="28"/>
        <v>0</v>
      </c>
      <c r="Y34">
        <f t="shared" si="29"/>
        <v>0</v>
      </c>
      <c r="AA34">
        <v>309315610</v>
      </c>
      <c r="AB34">
        <f t="shared" si="49"/>
        <v>45.37</v>
      </c>
      <c r="AC34">
        <f t="shared" si="47"/>
        <v>0</v>
      </c>
      <c r="AD34">
        <f>ROUND((((ET34+(SUM(SmtRes!BD9:'SmtRes'!BD9)+SUM(EtalonRes!AM9:'EtalonRes'!AM9)))-(EU34))+AE34),6)</f>
        <v>45.37</v>
      </c>
      <c r="AE34">
        <f t="shared" si="50"/>
        <v>0</v>
      </c>
      <c r="AF34">
        <f t="shared" si="50"/>
        <v>0</v>
      </c>
      <c r="AG34">
        <f t="shared" si="30"/>
        <v>0</v>
      </c>
      <c r="AH34">
        <f t="shared" si="51"/>
        <v>0</v>
      </c>
      <c r="AI34">
        <f t="shared" si="51"/>
        <v>0</v>
      </c>
      <c r="AJ34">
        <f t="shared" si="31"/>
        <v>0</v>
      </c>
      <c r="AK34">
        <v>73.78</v>
      </c>
      <c r="AL34">
        <v>0</v>
      </c>
      <c r="AM34">
        <v>73.78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21.43</v>
      </c>
      <c r="BB34">
        <v>9.5299999999999994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53</v>
      </c>
      <c r="BM34">
        <v>1111</v>
      </c>
      <c r="BN34">
        <v>0</v>
      </c>
      <c r="BO34" t="s">
        <v>50</v>
      </c>
      <c r="BP34">
        <v>1</v>
      </c>
      <c r="BQ34">
        <v>150</v>
      </c>
      <c r="BR34">
        <v>0</v>
      </c>
      <c r="BS34">
        <v>21.43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0</v>
      </c>
      <c r="CA34">
        <v>0</v>
      </c>
      <c r="CE34">
        <v>30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2"/>
        <v>22159.25</v>
      </c>
      <c r="CQ34">
        <f t="shared" si="33"/>
        <v>0</v>
      </c>
      <c r="CR34">
        <f>(ROUND((ROUND(((ET34+(SUM(SmtRes!BD9:'SmtRes'!BD9)+SUM(EtalonRes!AM9:'EtalonRes'!AM9)))*AV34*1),2)*BB34),2)+ROUND((ROUND(((AE34-(EU34))*AV34*1),2)*BS34),2))</f>
        <v>432.38</v>
      </c>
      <c r="CS34">
        <f t="shared" si="34"/>
        <v>0</v>
      </c>
      <c r="CT34">
        <f t="shared" si="35"/>
        <v>0</v>
      </c>
      <c r="CU34">
        <f t="shared" si="36"/>
        <v>0</v>
      </c>
      <c r="CV34">
        <f t="shared" si="37"/>
        <v>0</v>
      </c>
      <c r="CW34">
        <f t="shared" si="38"/>
        <v>0</v>
      </c>
      <c r="CX34">
        <f t="shared" si="39"/>
        <v>0</v>
      </c>
      <c r="CY34">
        <f t="shared" si="40"/>
        <v>0</v>
      </c>
      <c r="CZ34">
        <f t="shared" si="41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1013</v>
      </c>
      <c r="DV34" t="s">
        <v>52</v>
      </c>
      <c r="DW34" t="s">
        <v>52</v>
      </c>
      <c r="DX34">
        <v>1</v>
      </c>
      <c r="EE34">
        <v>298189187</v>
      </c>
      <c r="EF34">
        <v>150</v>
      </c>
      <c r="EG34" t="s">
        <v>54</v>
      </c>
      <c r="EH34">
        <v>0</v>
      </c>
      <c r="EI34" t="s">
        <v>3</v>
      </c>
      <c r="EJ34">
        <v>4</v>
      </c>
      <c r="EK34">
        <v>1111</v>
      </c>
      <c r="EL34" t="s">
        <v>55</v>
      </c>
      <c r="EM34" t="s">
        <v>56</v>
      </c>
      <c r="EO34" t="s">
        <v>3</v>
      </c>
      <c r="EQ34">
        <v>768</v>
      </c>
      <c r="ER34">
        <v>73.78</v>
      </c>
      <c r="ES34">
        <v>0</v>
      </c>
      <c r="ET34">
        <v>73.78</v>
      </c>
      <c r="EU34">
        <v>0</v>
      </c>
      <c r="EV34">
        <v>0</v>
      </c>
      <c r="EW34">
        <v>0</v>
      </c>
      <c r="EX34">
        <v>0</v>
      </c>
      <c r="EY34">
        <v>1</v>
      </c>
      <c r="FQ34">
        <v>0</v>
      </c>
      <c r="FR34">
        <f t="shared" si="42"/>
        <v>0</v>
      </c>
      <c r="FS34">
        <v>0</v>
      </c>
      <c r="FX34">
        <v>0</v>
      </c>
      <c r="FY34">
        <v>0</v>
      </c>
      <c r="GA34" t="s">
        <v>3</v>
      </c>
      <c r="GD34">
        <v>1</v>
      </c>
      <c r="GF34">
        <v>583310256</v>
      </c>
      <c r="GG34">
        <v>2</v>
      </c>
      <c r="GH34">
        <v>1</v>
      </c>
      <c r="GI34">
        <v>2</v>
      </c>
      <c r="GJ34">
        <v>0</v>
      </c>
      <c r="GK34">
        <v>0</v>
      </c>
      <c r="GL34">
        <f t="shared" si="43"/>
        <v>0</v>
      </c>
      <c r="GM34">
        <f>ROUND(O34+X34+Y34,2)+GX34</f>
        <v>22159.25</v>
      </c>
      <c r="GN34">
        <f>IF(OR(BI34=0,BI34=1),ROUND(O34+X34+Y34,2),0)</f>
        <v>0</v>
      </c>
      <c r="GO34">
        <f>IF(BI34=2,ROUND(O34+X34+Y34,2),0)</f>
        <v>0</v>
      </c>
      <c r="GP34">
        <f>IF(BI34=4,ROUND(O34+X34+Y34,2)+GX34,0)</f>
        <v>22159.25</v>
      </c>
      <c r="GR34">
        <v>0</v>
      </c>
      <c r="GS34">
        <v>3</v>
      </c>
      <c r="GT34">
        <v>0</v>
      </c>
      <c r="GU34" t="s">
        <v>3</v>
      </c>
      <c r="GV34">
        <f t="shared" si="44"/>
        <v>0</v>
      </c>
      <c r="GW34">
        <v>1</v>
      </c>
      <c r="GX34">
        <f t="shared" si="45"/>
        <v>0</v>
      </c>
      <c r="HA34">
        <v>0</v>
      </c>
      <c r="HB34">
        <v>0</v>
      </c>
      <c r="HC34">
        <f t="shared" si="46"/>
        <v>0</v>
      </c>
      <c r="IK34">
        <v>0</v>
      </c>
    </row>
    <row r="35" spans="1:245" x14ac:dyDescent="0.2">
      <c r="A35">
        <v>17</v>
      </c>
      <c r="B35">
        <v>1</v>
      </c>
      <c r="C35">
        <f>ROW(SmtRes!A10)</f>
        <v>10</v>
      </c>
      <c r="D35">
        <f>ROW(EtalonRes!A10)</f>
        <v>10</v>
      </c>
      <c r="E35" t="s">
        <v>57</v>
      </c>
      <c r="F35" t="s">
        <v>58</v>
      </c>
      <c r="G35" t="s">
        <v>59</v>
      </c>
      <c r="H35" t="s">
        <v>60</v>
      </c>
      <c r="I35">
        <f>ROUND(I34*1.8,9)</f>
        <v>92.25</v>
      </c>
      <c r="J35">
        <v>0</v>
      </c>
      <c r="O35">
        <f t="shared" si="21"/>
        <v>11458.7</v>
      </c>
      <c r="P35">
        <f t="shared" si="22"/>
        <v>0</v>
      </c>
      <c r="Q35">
        <f>(ROUND((ROUND(((ET35)*AV35*I35),2)*BB35),2)+ROUND((ROUND(((AE35-(EU35))*AV35*I35),2)*BS35),2))</f>
        <v>11458.7</v>
      </c>
      <c r="R35">
        <f t="shared" si="23"/>
        <v>0</v>
      </c>
      <c r="S35">
        <f t="shared" si="48"/>
        <v>0</v>
      </c>
      <c r="T35">
        <f t="shared" si="24"/>
        <v>0</v>
      </c>
      <c r="U35">
        <f t="shared" si="25"/>
        <v>0</v>
      </c>
      <c r="V35">
        <f t="shared" si="26"/>
        <v>0</v>
      </c>
      <c r="W35">
        <f t="shared" si="27"/>
        <v>0</v>
      </c>
      <c r="X35">
        <f t="shared" si="28"/>
        <v>0</v>
      </c>
      <c r="Y35">
        <f t="shared" si="29"/>
        <v>0</v>
      </c>
      <c r="AA35">
        <v>309315610</v>
      </c>
      <c r="AB35">
        <f t="shared" si="49"/>
        <v>43.28</v>
      </c>
      <c r="AC35">
        <f t="shared" si="47"/>
        <v>0</v>
      </c>
      <c r="AD35">
        <f>ROUND((((ET35)-(EU35))+AE35),6)</f>
        <v>43.28</v>
      </c>
      <c r="AE35">
        <f t="shared" si="50"/>
        <v>0</v>
      </c>
      <c r="AF35">
        <f t="shared" si="50"/>
        <v>0</v>
      </c>
      <c r="AG35">
        <f t="shared" si="30"/>
        <v>0</v>
      </c>
      <c r="AH35">
        <f t="shared" si="51"/>
        <v>0</v>
      </c>
      <c r="AI35">
        <f t="shared" si="51"/>
        <v>0</v>
      </c>
      <c r="AJ35">
        <f t="shared" si="31"/>
        <v>0</v>
      </c>
      <c r="AK35">
        <v>43.28</v>
      </c>
      <c r="AL35">
        <v>0</v>
      </c>
      <c r="AM35">
        <v>43.28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21.43</v>
      </c>
      <c r="BB35">
        <v>2.87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61</v>
      </c>
      <c r="BM35">
        <v>1111</v>
      </c>
      <c r="BN35">
        <v>0</v>
      </c>
      <c r="BO35" t="s">
        <v>58</v>
      </c>
      <c r="BP35">
        <v>1</v>
      </c>
      <c r="BQ35">
        <v>150</v>
      </c>
      <c r="BR35">
        <v>0</v>
      </c>
      <c r="BS35">
        <v>21.43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E35">
        <v>30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2"/>
        <v>11458.7</v>
      </c>
      <c r="CQ35">
        <f t="shared" si="33"/>
        <v>0</v>
      </c>
      <c r="CR35">
        <f>(ROUND((ROUND(((ET35)*AV35*1),2)*BB35),2)+ROUND((ROUND(((AE35-(EU35))*AV35*1),2)*BS35),2))</f>
        <v>124.21</v>
      </c>
      <c r="CS35">
        <f t="shared" si="34"/>
        <v>0</v>
      </c>
      <c r="CT35">
        <f t="shared" si="35"/>
        <v>0</v>
      </c>
      <c r="CU35">
        <f t="shared" si="36"/>
        <v>0</v>
      </c>
      <c r="CV35">
        <f t="shared" si="37"/>
        <v>0</v>
      </c>
      <c r="CW35">
        <f t="shared" si="38"/>
        <v>0</v>
      </c>
      <c r="CX35">
        <f t="shared" si="39"/>
        <v>0</v>
      </c>
      <c r="CY35">
        <f t="shared" si="40"/>
        <v>0</v>
      </c>
      <c r="CZ35">
        <f t="shared" si="4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60</v>
      </c>
      <c r="DW35" t="s">
        <v>60</v>
      </c>
      <c r="DX35">
        <v>1</v>
      </c>
      <c r="EE35">
        <v>298189187</v>
      </c>
      <c r="EF35">
        <v>150</v>
      </c>
      <c r="EG35" t="s">
        <v>54</v>
      </c>
      <c r="EH35">
        <v>0</v>
      </c>
      <c r="EI35" t="s">
        <v>3</v>
      </c>
      <c r="EJ35">
        <v>4</v>
      </c>
      <c r="EK35">
        <v>1111</v>
      </c>
      <c r="EL35" t="s">
        <v>55</v>
      </c>
      <c r="EM35" t="s">
        <v>56</v>
      </c>
      <c r="EO35" t="s">
        <v>3</v>
      </c>
      <c r="EQ35">
        <v>768</v>
      </c>
      <c r="ER35">
        <v>43.28</v>
      </c>
      <c r="ES35">
        <v>0</v>
      </c>
      <c r="ET35">
        <v>43.28</v>
      </c>
      <c r="EU35">
        <v>0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42"/>
        <v>0</v>
      </c>
      <c r="FS35">
        <v>0</v>
      </c>
      <c r="FX35">
        <v>0</v>
      </c>
      <c r="FY35">
        <v>0</v>
      </c>
      <c r="GA35" t="s">
        <v>3</v>
      </c>
      <c r="GD35">
        <v>1</v>
      </c>
      <c r="GF35">
        <v>-1830155644</v>
      </c>
      <c r="GG35">
        <v>2</v>
      </c>
      <c r="GH35">
        <v>1</v>
      </c>
      <c r="GI35">
        <v>2</v>
      </c>
      <c r="GJ35">
        <v>0</v>
      </c>
      <c r="GK35">
        <v>0</v>
      </c>
      <c r="GL35">
        <f t="shared" si="43"/>
        <v>0</v>
      </c>
      <c r="GM35">
        <f>ROUND(O35+X35+Y35,2)+GX35</f>
        <v>11458.7</v>
      </c>
      <c r="GN35">
        <f>IF(OR(BI35=0,BI35=1),ROUND(O35+X35+Y35,2),0)</f>
        <v>0</v>
      </c>
      <c r="GO35">
        <f>IF(BI35=2,ROUND(O35+X35+Y35,2),0)</f>
        <v>0</v>
      </c>
      <c r="GP35">
        <f>IF(BI35=4,ROUND(O35+X35+Y35,2)+GX35,0)</f>
        <v>11458.7</v>
      </c>
      <c r="GR35">
        <v>0</v>
      </c>
      <c r="GS35">
        <v>0</v>
      </c>
      <c r="GT35">
        <v>0</v>
      </c>
      <c r="GU35" t="s">
        <v>3</v>
      </c>
      <c r="GV35">
        <f t="shared" si="44"/>
        <v>0</v>
      </c>
      <c r="GW35">
        <v>1</v>
      </c>
      <c r="GX35">
        <f t="shared" si="45"/>
        <v>0</v>
      </c>
      <c r="HA35">
        <v>0</v>
      </c>
      <c r="HB35">
        <v>0</v>
      </c>
      <c r="HC35">
        <f t="shared" si="46"/>
        <v>0</v>
      </c>
      <c r="IK35">
        <v>0</v>
      </c>
    </row>
    <row r="36" spans="1:245" x14ac:dyDescent="0.2">
      <c r="A36">
        <v>17</v>
      </c>
      <c r="B36">
        <v>1</v>
      </c>
      <c r="C36">
        <f>ROW(SmtRes!A11)</f>
        <v>11</v>
      </c>
      <c r="D36">
        <f>ROW(EtalonRes!A11)</f>
        <v>11</v>
      </c>
      <c r="E36" t="s">
        <v>62</v>
      </c>
      <c r="F36" t="s">
        <v>63</v>
      </c>
      <c r="G36" t="s">
        <v>64</v>
      </c>
      <c r="H36" t="s">
        <v>60</v>
      </c>
      <c r="I36">
        <f>ROUND(I29,3)</f>
        <v>2E-3</v>
      </c>
      <c r="J36">
        <v>0</v>
      </c>
      <c r="O36">
        <f t="shared" si="21"/>
        <v>0.52</v>
      </c>
      <c r="P36">
        <f t="shared" si="22"/>
        <v>0</v>
      </c>
      <c r="Q36">
        <f>(ROUND((ROUND(((ET36)*AV36*I36),2)*BB36),2)+ROUND((ROUND(((AE36-(EU36))*AV36*I36),2)*BS36),2))</f>
        <v>0.52</v>
      </c>
      <c r="R36">
        <f t="shared" si="23"/>
        <v>0</v>
      </c>
      <c r="S36">
        <f t="shared" si="48"/>
        <v>0</v>
      </c>
      <c r="T36">
        <f t="shared" si="24"/>
        <v>0</v>
      </c>
      <c r="U36">
        <f t="shared" si="25"/>
        <v>0</v>
      </c>
      <c r="V36">
        <f t="shared" si="26"/>
        <v>0</v>
      </c>
      <c r="W36">
        <f t="shared" si="27"/>
        <v>0</v>
      </c>
      <c r="X36">
        <f t="shared" si="28"/>
        <v>0</v>
      </c>
      <c r="Y36">
        <f t="shared" si="29"/>
        <v>0</v>
      </c>
      <c r="AA36">
        <v>309315610</v>
      </c>
      <c r="AB36">
        <f t="shared" si="49"/>
        <v>27.91</v>
      </c>
      <c r="AC36">
        <f t="shared" si="47"/>
        <v>0</v>
      </c>
      <c r="AD36">
        <f>ROUND((((ET36)-(EU36))+AE36),6)</f>
        <v>27.91</v>
      </c>
      <c r="AE36">
        <f t="shared" si="50"/>
        <v>0</v>
      </c>
      <c r="AF36">
        <f t="shared" si="50"/>
        <v>0</v>
      </c>
      <c r="AG36">
        <f t="shared" si="30"/>
        <v>0</v>
      </c>
      <c r="AH36">
        <f t="shared" si="51"/>
        <v>0</v>
      </c>
      <c r="AI36">
        <f t="shared" si="51"/>
        <v>0</v>
      </c>
      <c r="AJ36">
        <f t="shared" si="31"/>
        <v>0</v>
      </c>
      <c r="AK36">
        <v>27.91</v>
      </c>
      <c r="AL36">
        <v>0</v>
      </c>
      <c r="AM36">
        <v>27.91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21.43</v>
      </c>
      <c r="BB36">
        <v>8.66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65</v>
      </c>
      <c r="BM36">
        <v>1113</v>
      </c>
      <c r="BN36">
        <v>0</v>
      </c>
      <c r="BO36" t="s">
        <v>63</v>
      </c>
      <c r="BP36">
        <v>1</v>
      </c>
      <c r="BQ36">
        <v>150</v>
      </c>
      <c r="BR36">
        <v>0</v>
      </c>
      <c r="BS36">
        <v>21.43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0</v>
      </c>
      <c r="CA36">
        <v>0</v>
      </c>
      <c r="CE36">
        <v>30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32"/>
        <v>0.52</v>
      </c>
      <c r="CQ36">
        <f t="shared" si="33"/>
        <v>0</v>
      </c>
      <c r="CR36">
        <f>(ROUND((ROUND(((ET36)*AV36*1),2)*BB36),2)+ROUND((ROUND(((AE36-(EU36))*AV36*1),2)*BS36),2))</f>
        <v>241.7</v>
      </c>
      <c r="CS36">
        <f t="shared" si="34"/>
        <v>0</v>
      </c>
      <c r="CT36">
        <f t="shared" si="35"/>
        <v>0</v>
      </c>
      <c r="CU36">
        <f t="shared" si="36"/>
        <v>0</v>
      </c>
      <c r="CV36">
        <f t="shared" si="37"/>
        <v>0</v>
      </c>
      <c r="CW36">
        <f t="shared" si="38"/>
        <v>0</v>
      </c>
      <c r="CX36">
        <f t="shared" si="39"/>
        <v>0</v>
      </c>
      <c r="CY36">
        <f t="shared" si="40"/>
        <v>0</v>
      </c>
      <c r="CZ36">
        <f t="shared" si="41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60</v>
      </c>
      <c r="DW36" t="s">
        <v>60</v>
      </c>
      <c r="DX36">
        <v>1</v>
      </c>
      <c r="EE36">
        <v>298189189</v>
      </c>
      <c r="EF36">
        <v>150</v>
      </c>
      <c r="EG36" t="s">
        <v>54</v>
      </c>
      <c r="EH36">
        <v>0</v>
      </c>
      <c r="EI36" t="s">
        <v>3</v>
      </c>
      <c r="EJ36">
        <v>4</v>
      </c>
      <c r="EK36">
        <v>1113</v>
      </c>
      <c r="EL36" t="s">
        <v>66</v>
      </c>
      <c r="EM36" t="s">
        <v>67</v>
      </c>
      <c r="EO36" t="s">
        <v>3</v>
      </c>
      <c r="EQ36">
        <v>256</v>
      </c>
      <c r="ER36">
        <v>27.91</v>
      </c>
      <c r="ES36">
        <v>0</v>
      </c>
      <c r="ET36">
        <v>27.91</v>
      </c>
      <c r="EU36">
        <v>0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42"/>
        <v>0</v>
      </c>
      <c r="FS36">
        <v>0</v>
      </c>
      <c r="FX36">
        <v>0</v>
      </c>
      <c r="FY36">
        <v>0</v>
      </c>
      <c r="GA36" t="s">
        <v>3</v>
      </c>
      <c r="GD36">
        <v>1</v>
      </c>
      <c r="GF36">
        <v>-1712937699</v>
      </c>
      <c r="GG36">
        <v>2</v>
      </c>
      <c r="GH36">
        <v>1</v>
      </c>
      <c r="GI36">
        <v>2</v>
      </c>
      <c r="GJ36">
        <v>0</v>
      </c>
      <c r="GK36">
        <v>0</v>
      </c>
      <c r="GL36">
        <f t="shared" si="43"/>
        <v>0</v>
      </c>
      <c r="GM36">
        <f>ROUND(O36+X36+Y36,2)+GX36</f>
        <v>0.52</v>
      </c>
      <c r="GN36">
        <f>IF(OR(BI36=0,BI36=1),ROUND(O36+X36+Y36,2),0)</f>
        <v>0</v>
      </c>
      <c r="GO36">
        <f>IF(BI36=2,ROUND(O36+X36+Y36,2),0)</f>
        <v>0</v>
      </c>
      <c r="GP36">
        <f>IF(BI36=4,ROUND(O36+X36+Y36,2)+GX36,0)</f>
        <v>0.52</v>
      </c>
      <c r="GR36">
        <v>0</v>
      </c>
      <c r="GS36">
        <v>3</v>
      </c>
      <c r="GT36">
        <v>0</v>
      </c>
      <c r="GU36" t="s">
        <v>3</v>
      </c>
      <c r="GV36">
        <f t="shared" si="44"/>
        <v>0</v>
      </c>
      <c r="GW36">
        <v>1</v>
      </c>
      <c r="GX36">
        <f t="shared" si="45"/>
        <v>0</v>
      </c>
      <c r="HA36">
        <v>0</v>
      </c>
      <c r="HB36">
        <v>0</v>
      </c>
      <c r="HC36">
        <f t="shared" si="46"/>
        <v>0</v>
      </c>
      <c r="IK36">
        <v>0</v>
      </c>
    </row>
    <row r="37" spans="1:245" x14ac:dyDescent="0.2">
      <c r="A37">
        <v>17</v>
      </c>
      <c r="B37">
        <v>1</v>
      </c>
      <c r="C37">
        <f>ROW(SmtRes!A12)</f>
        <v>12</v>
      </c>
      <c r="D37">
        <f>ROW(EtalonRes!A12)</f>
        <v>12</v>
      </c>
      <c r="E37" t="s">
        <v>68</v>
      </c>
      <c r="F37" t="s">
        <v>69</v>
      </c>
      <c r="G37" t="s">
        <v>70</v>
      </c>
      <c r="H37" t="s">
        <v>60</v>
      </c>
      <c r="I37">
        <f>ROUND(I36,9)</f>
        <v>2E-3</v>
      </c>
      <c r="J37">
        <v>0</v>
      </c>
      <c r="O37">
        <f t="shared" si="21"/>
        <v>0.43</v>
      </c>
      <c r="P37">
        <f t="shared" si="22"/>
        <v>0</v>
      </c>
      <c r="Q37">
        <f>(ROUND((ROUND(((ET37)*AV37*I37),2)*BB37),2)+ROUND((ROUND(((AE37-(EU37))*AV37*I37),2)*BS37),2))</f>
        <v>0.43</v>
      </c>
      <c r="R37">
        <f t="shared" si="23"/>
        <v>0</v>
      </c>
      <c r="S37">
        <f t="shared" si="48"/>
        <v>0</v>
      </c>
      <c r="T37">
        <f t="shared" si="24"/>
        <v>0</v>
      </c>
      <c r="U37">
        <f t="shared" si="25"/>
        <v>0</v>
      </c>
      <c r="V37">
        <f t="shared" si="26"/>
        <v>0</v>
      </c>
      <c r="W37">
        <f t="shared" si="27"/>
        <v>0</v>
      </c>
      <c r="X37">
        <f t="shared" si="28"/>
        <v>0</v>
      </c>
      <c r="Y37">
        <f t="shared" si="29"/>
        <v>0</v>
      </c>
      <c r="AA37">
        <v>309315610</v>
      </c>
      <c r="AB37">
        <f t="shared" si="49"/>
        <v>101</v>
      </c>
      <c r="AC37">
        <f t="shared" si="47"/>
        <v>0</v>
      </c>
      <c r="AD37">
        <f>ROUND((((ET37)-(EU37))+AE37),6)</f>
        <v>101</v>
      </c>
      <c r="AE37">
        <f t="shared" si="50"/>
        <v>0</v>
      </c>
      <c r="AF37">
        <f t="shared" si="50"/>
        <v>0</v>
      </c>
      <c r="AG37">
        <f t="shared" si="30"/>
        <v>0</v>
      </c>
      <c r="AH37">
        <f t="shared" si="51"/>
        <v>0</v>
      </c>
      <c r="AI37">
        <f t="shared" si="51"/>
        <v>0</v>
      </c>
      <c r="AJ37">
        <f t="shared" si="31"/>
        <v>0</v>
      </c>
      <c r="AK37">
        <v>101</v>
      </c>
      <c r="AL37">
        <v>0</v>
      </c>
      <c r="AM37">
        <v>101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21.43</v>
      </c>
      <c r="BB37">
        <v>2.14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71</v>
      </c>
      <c r="BM37">
        <v>1110</v>
      </c>
      <c r="BN37">
        <v>0</v>
      </c>
      <c r="BO37" t="s">
        <v>69</v>
      </c>
      <c r="BP37">
        <v>1</v>
      </c>
      <c r="BQ37">
        <v>150</v>
      </c>
      <c r="BR37">
        <v>0</v>
      </c>
      <c r="BS37">
        <v>21.43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E37">
        <v>30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32"/>
        <v>0.43</v>
      </c>
      <c r="CQ37">
        <f t="shared" si="33"/>
        <v>0</v>
      </c>
      <c r="CR37">
        <f>(ROUND((ROUND(((ET37)*AV37*1),2)*BB37),2)+ROUND((ROUND(((AE37-(EU37))*AV37*1),2)*BS37),2))</f>
        <v>216.14</v>
      </c>
      <c r="CS37">
        <f t="shared" si="34"/>
        <v>0</v>
      </c>
      <c r="CT37">
        <f t="shared" si="35"/>
        <v>0</v>
      </c>
      <c r="CU37">
        <f t="shared" si="36"/>
        <v>0</v>
      </c>
      <c r="CV37">
        <f t="shared" si="37"/>
        <v>0</v>
      </c>
      <c r="CW37">
        <f t="shared" si="38"/>
        <v>0</v>
      </c>
      <c r="CX37">
        <f t="shared" si="39"/>
        <v>0</v>
      </c>
      <c r="CY37">
        <f t="shared" si="40"/>
        <v>0</v>
      </c>
      <c r="CZ37">
        <f t="shared" si="41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60</v>
      </c>
      <c r="DW37" t="s">
        <v>60</v>
      </c>
      <c r="DX37">
        <v>1</v>
      </c>
      <c r="EE37">
        <v>298189186</v>
      </c>
      <c r="EF37">
        <v>150</v>
      </c>
      <c r="EG37" t="s">
        <v>54</v>
      </c>
      <c r="EH37">
        <v>0</v>
      </c>
      <c r="EI37" t="s">
        <v>3</v>
      </c>
      <c r="EJ37">
        <v>4</v>
      </c>
      <c r="EK37">
        <v>1110</v>
      </c>
      <c r="EL37" t="s">
        <v>72</v>
      </c>
      <c r="EM37" t="s">
        <v>73</v>
      </c>
      <c r="EO37" t="s">
        <v>3</v>
      </c>
      <c r="EQ37">
        <v>256</v>
      </c>
      <c r="ER37">
        <v>101</v>
      </c>
      <c r="ES37">
        <v>0</v>
      </c>
      <c r="ET37">
        <v>101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42"/>
        <v>0</v>
      </c>
      <c r="FS37">
        <v>0</v>
      </c>
      <c r="FX37">
        <v>0</v>
      </c>
      <c r="FY37">
        <v>0</v>
      </c>
      <c r="GA37" t="s">
        <v>3</v>
      </c>
      <c r="GD37">
        <v>1</v>
      </c>
      <c r="GF37">
        <v>1935715050</v>
      </c>
      <c r="GG37">
        <v>2</v>
      </c>
      <c r="GH37">
        <v>1</v>
      </c>
      <c r="GI37">
        <v>2</v>
      </c>
      <c r="GJ37">
        <v>0</v>
      </c>
      <c r="GK37">
        <v>0</v>
      </c>
      <c r="GL37">
        <f t="shared" si="43"/>
        <v>0</v>
      </c>
      <c r="GM37">
        <f>ROUND(O37+X37+Y37,2)+GX37</f>
        <v>0.43</v>
      </c>
      <c r="GN37">
        <f>IF(OR(BI37=0,BI37=1),ROUND(O37+X37+Y37,2),0)</f>
        <v>0</v>
      </c>
      <c r="GO37">
        <f>IF(BI37=2,ROUND(O37+X37+Y37,2),0)</f>
        <v>0</v>
      </c>
      <c r="GP37">
        <f>IF(BI37=4,ROUND(O37+X37+Y37,2)+GX37,0)</f>
        <v>0.43</v>
      </c>
      <c r="GR37">
        <v>0</v>
      </c>
      <c r="GS37">
        <v>0</v>
      </c>
      <c r="GT37">
        <v>0</v>
      </c>
      <c r="GU37" t="s">
        <v>3</v>
      </c>
      <c r="GV37">
        <f t="shared" si="44"/>
        <v>0</v>
      </c>
      <c r="GW37">
        <v>1</v>
      </c>
      <c r="GX37">
        <f t="shared" si="45"/>
        <v>0</v>
      </c>
      <c r="HA37">
        <v>0</v>
      </c>
      <c r="HB37">
        <v>0</v>
      </c>
      <c r="HC37">
        <f t="shared" si="46"/>
        <v>0</v>
      </c>
      <c r="IK37">
        <v>0</v>
      </c>
    </row>
    <row r="39" spans="1:245" x14ac:dyDescent="0.2">
      <c r="A39" s="2">
        <v>51</v>
      </c>
      <c r="B39" s="2">
        <f>B24</f>
        <v>1</v>
      </c>
      <c r="C39" s="2">
        <f>A24</f>
        <v>4</v>
      </c>
      <c r="D39" s="2">
        <f>ROW(A24)</f>
        <v>24</v>
      </c>
      <c r="E39" s="2"/>
      <c r="F39" s="2" t="str">
        <f>IF(F24&lt;&gt;"",F24,"")</f>
        <v>Новый раздел</v>
      </c>
      <c r="G39" s="2" t="str">
        <f>IF(G24&lt;&gt;"",G24,"")</f>
        <v>ТЕПЛОВАЯ СЕТЬ  2Ду125 в ППУ-ПЭ бесканальная прокладка - 19.1м</v>
      </c>
      <c r="H39" s="2">
        <v>0</v>
      </c>
      <c r="I39" s="2"/>
      <c r="J39" s="2"/>
      <c r="K39" s="2"/>
      <c r="L39" s="2"/>
      <c r="M39" s="2"/>
      <c r="N39" s="2"/>
      <c r="O39" s="2">
        <f t="shared" ref="O39:T39" si="52">ROUND(AB39,2)</f>
        <v>392839.75</v>
      </c>
      <c r="P39" s="2">
        <f t="shared" si="52"/>
        <v>354899</v>
      </c>
      <c r="Q39" s="2">
        <f t="shared" si="52"/>
        <v>37756.239999999998</v>
      </c>
      <c r="R39" s="2">
        <f t="shared" si="52"/>
        <v>1839.12</v>
      </c>
      <c r="S39" s="2">
        <f t="shared" si="52"/>
        <v>184.51</v>
      </c>
      <c r="T39" s="2">
        <f t="shared" si="52"/>
        <v>0</v>
      </c>
      <c r="U39" s="2">
        <f>AH39</f>
        <v>0.84304199999999985</v>
      </c>
      <c r="V39" s="2">
        <f>AI39</f>
        <v>0</v>
      </c>
      <c r="W39" s="2">
        <f>ROUND(AJ39,2)</f>
        <v>0</v>
      </c>
      <c r="X39" s="2">
        <f>ROUND(AK39,2)</f>
        <v>169.75</v>
      </c>
      <c r="Y39" s="2">
        <f>ROUND(AL39,2)</f>
        <v>92.26</v>
      </c>
      <c r="Z39" s="2"/>
      <c r="AA39" s="2"/>
      <c r="AB39" s="2">
        <f>ROUND(SUMIF(AA28:AA37,"=309315610",O28:O37),2)</f>
        <v>392839.75</v>
      </c>
      <c r="AC39" s="2">
        <f>ROUND(SUMIF(AA28:AA37,"=309315610",P28:P37),2)</f>
        <v>354899</v>
      </c>
      <c r="AD39" s="2">
        <f>ROUND(SUMIF(AA28:AA37,"=309315610",Q28:Q37),2)</f>
        <v>37756.239999999998</v>
      </c>
      <c r="AE39" s="2">
        <f>ROUND(SUMIF(AA28:AA37,"=309315610",R28:R37),2)</f>
        <v>1839.12</v>
      </c>
      <c r="AF39" s="2">
        <f>ROUND(SUMIF(AA28:AA37,"=309315610",S28:S37),2)</f>
        <v>184.51</v>
      </c>
      <c r="AG39" s="2">
        <f>ROUND(SUMIF(AA28:AA37,"=309315610",T28:T37),2)</f>
        <v>0</v>
      </c>
      <c r="AH39" s="2">
        <f>SUMIF(AA28:AA37,"=309315610",U28:U37)</f>
        <v>0.84304199999999985</v>
      </c>
      <c r="AI39" s="2">
        <f>SUMIF(AA28:AA37,"=309315610",V28:V37)</f>
        <v>0</v>
      </c>
      <c r="AJ39" s="2">
        <f>ROUND(SUMIF(AA28:AA37,"=309315610",W28:W37),2)</f>
        <v>0</v>
      </c>
      <c r="AK39" s="2">
        <f>ROUND(SUMIF(AA28:AA37,"=309315610",X28:X37),2)</f>
        <v>169.75</v>
      </c>
      <c r="AL39" s="2">
        <f>ROUND(SUMIF(AA28:AA37,"=309315610",Y28:Y37),2)</f>
        <v>92.26</v>
      </c>
      <c r="AM39" s="2"/>
      <c r="AN39" s="2"/>
      <c r="AO39" s="2">
        <f t="shared" ref="AO39:BC39" si="53">ROUND(BX39,2)</f>
        <v>0</v>
      </c>
      <c r="AP39" s="2">
        <f t="shared" si="53"/>
        <v>0</v>
      </c>
      <c r="AQ39" s="2">
        <f t="shared" si="53"/>
        <v>0</v>
      </c>
      <c r="AR39" s="2">
        <f t="shared" si="53"/>
        <v>824234.32</v>
      </c>
      <c r="AS39" s="2">
        <f t="shared" si="53"/>
        <v>787349.32</v>
      </c>
      <c r="AT39" s="2">
        <f t="shared" si="53"/>
        <v>0</v>
      </c>
      <c r="AU39" s="2">
        <f t="shared" si="53"/>
        <v>33618.9</v>
      </c>
      <c r="AV39" s="2">
        <f t="shared" si="53"/>
        <v>354899</v>
      </c>
      <c r="AW39" s="2">
        <f t="shared" si="53"/>
        <v>354899</v>
      </c>
      <c r="AX39" s="2">
        <f t="shared" si="53"/>
        <v>0</v>
      </c>
      <c r="AY39" s="2">
        <f t="shared" si="53"/>
        <v>354899</v>
      </c>
      <c r="AZ39" s="2">
        <f t="shared" si="53"/>
        <v>0</v>
      </c>
      <c r="BA39" s="2">
        <f t="shared" si="53"/>
        <v>3266.1</v>
      </c>
      <c r="BB39" s="2">
        <f t="shared" si="53"/>
        <v>81662.740000000005</v>
      </c>
      <c r="BC39" s="2">
        <f t="shared" si="53"/>
        <v>343316.3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>
        <f>ROUND(SUMIF(AA28:AA37,"=309315610",FQ28:FQ37),2)</f>
        <v>0</v>
      </c>
      <c r="BY39" s="2">
        <f>ROUND(SUMIF(AA28:AA37,"=309315610",FR28:FR37),2)</f>
        <v>0</v>
      </c>
      <c r="BZ39" s="2">
        <f>ROUND(SUMIF(AA28:AA37,"=309315610",GL28:GL37),2)</f>
        <v>0</v>
      </c>
      <c r="CA39" s="2">
        <f>ROUND(SUMIF(AA28:AA37,"=309315610",GM28:GM37),2)</f>
        <v>824234.32</v>
      </c>
      <c r="CB39" s="2">
        <f>ROUND(SUMIF(AA28:AA37,"=309315610",GN28:GN37),2)</f>
        <v>787349.32</v>
      </c>
      <c r="CC39" s="2">
        <f>ROUND(SUMIF(AA28:AA37,"=309315610",GO28:GO37),2)</f>
        <v>0</v>
      </c>
      <c r="CD39" s="2">
        <f>ROUND(SUMIF(AA28:AA37,"=309315610",GP28:GP37),2)</f>
        <v>33618.9</v>
      </c>
      <c r="CE39" s="2">
        <f>AC39-BX39</f>
        <v>354899</v>
      </c>
      <c r="CF39" s="2">
        <f>AC39-BY39</f>
        <v>354899</v>
      </c>
      <c r="CG39" s="2">
        <f>BX39-BZ39</f>
        <v>0</v>
      </c>
      <c r="CH39" s="2">
        <f>AC39-BX39-BY39+BZ39</f>
        <v>354899</v>
      </c>
      <c r="CI39" s="2">
        <f>BY39-BZ39</f>
        <v>0</v>
      </c>
      <c r="CJ39" s="2">
        <f>ROUND(SUMIF(AA28:AA37,"=309315610",GX28:GX37),2)</f>
        <v>3266.1</v>
      </c>
      <c r="CK39" s="2">
        <f>ROUND(SUMIF(AA28:AA37,"=309315610",GY28:GY37),2)</f>
        <v>81662.740000000005</v>
      </c>
      <c r="CL39" s="2">
        <f>ROUND(SUMIF(AA28:AA37,"=309315610",GZ28:GZ37),2)</f>
        <v>343316.3</v>
      </c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>
        <v>0</v>
      </c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201</v>
      </c>
      <c r="F41" s="4">
        <f>ROUND(Source!O39,O41)</f>
        <v>392839.75</v>
      </c>
      <c r="G41" s="4" t="s">
        <v>74</v>
      </c>
      <c r="H41" s="4" t="s">
        <v>75</v>
      </c>
      <c r="I41" s="4"/>
      <c r="J41" s="4"/>
      <c r="K41" s="4">
        <v>201</v>
      </c>
      <c r="L41" s="4">
        <v>1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202</v>
      </c>
      <c r="F42" s="4">
        <f>ROUND(Source!P39,O42)</f>
        <v>354899</v>
      </c>
      <c r="G42" s="4" t="s">
        <v>76</v>
      </c>
      <c r="H42" s="4" t="s">
        <v>77</v>
      </c>
      <c r="I42" s="4"/>
      <c r="J42" s="4"/>
      <c r="K42" s="4">
        <v>202</v>
      </c>
      <c r="L42" s="4">
        <v>2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222</v>
      </c>
      <c r="F43" s="4">
        <f>ROUND(Source!AO39,O43)</f>
        <v>0</v>
      </c>
      <c r="G43" s="4" t="s">
        <v>78</v>
      </c>
      <c r="H43" s="4" t="s">
        <v>79</v>
      </c>
      <c r="I43" s="4"/>
      <c r="J43" s="4"/>
      <c r="K43" s="4">
        <v>222</v>
      </c>
      <c r="L43" s="4">
        <v>3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225</v>
      </c>
      <c r="F44" s="4">
        <f>ROUND(Source!AV39,O44)</f>
        <v>354899</v>
      </c>
      <c r="G44" s="4" t="s">
        <v>80</v>
      </c>
      <c r="H44" s="4" t="s">
        <v>81</v>
      </c>
      <c r="I44" s="4"/>
      <c r="J44" s="4"/>
      <c r="K44" s="4">
        <v>225</v>
      </c>
      <c r="L44" s="4">
        <v>4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226</v>
      </c>
      <c r="F45" s="4">
        <f>ROUND(Source!AW39,O45)</f>
        <v>354899</v>
      </c>
      <c r="G45" s="4" t="s">
        <v>82</v>
      </c>
      <c r="H45" s="4" t="s">
        <v>83</v>
      </c>
      <c r="I45" s="4"/>
      <c r="J45" s="4"/>
      <c r="K45" s="4">
        <v>226</v>
      </c>
      <c r="L45" s="4">
        <v>5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227</v>
      </c>
      <c r="F46" s="4">
        <f>ROUND(Source!AX39,O46)</f>
        <v>0</v>
      </c>
      <c r="G46" s="4" t="s">
        <v>84</v>
      </c>
      <c r="H46" s="4" t="s">
        <v>85</v>
      </c>
      <c r="I46" s="4"/>
      <c r="J46" s="4"/>
      <c r="K46" s="4">
        <v>227</v>
      </c>
      <c r="L46" s="4">
        <v>6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228</v>
      </c>
      <c r="F47" s="4">
        <f>ROUND(Source!AY39,O47)</f>
        <v>354899</v>
      </c>
      <c r="G47" s="4" t="s">
        <v>86</v>
      </c>
      <c r="H47" s="4" t="s">
        <v>87</v>
      </c>
      <c r="I47" s="4"/>
      <c r="J47" s="4"/>
      <c r="K47" s="4">
        <v>228</v>
      </c>
      <c r="L47" s="4">
        <v>7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216</v>
      </c>
      <c r="F48" s="4">
        <f>ROUND(Source!AP39,O48)</f>
        <v>0</v>
      </c>
      <c r="G48" s="4" t="s">
        <v>88</v>
      </c>
      <c r="H48" s="4" t="s">
        <v>89</v>
      </c>
      <c r="I48" s="4"/>
      <c r="J48" s="4"/>
      <c r="K48" s="4">
        <v>216</v>
      </c>
      <c r="L48" s="4">
        <v>8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223</v>
      </c>
      <c r="F49" s="4">
        <f>ROUND(Source!AQ39,O49)</f>
        <v>0</v>
      </c>
      <c r="G49" s="4" t="s">
        <v>90</v>
      </c>
      <c r="H49" s="4" t="s">
        <v>91</v>
      </c>
      <c r="I49" s="4"/>
      <c r="J49" s="4"/>
      <c r="K49" s="4">
        <v>223</v>
      </c>
      <c r="L49" s="4">
        <v>9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229</v>
      </c>
      <c r="F50" s="4">
        <f>ROUND(Source!AZ39,O50)</f>
        <v>0</v>
      </c>
      <c r="G50" s="4" t="s">
        <v>92</v>
      </c>
      <c r="H50" s="4" t="s">
        <v>93</v>
      </c>
      <c r="I50" s="4"/>
      <c r="J50" s="4"/>
      <c r="K50" s="4">
        <v>229</v>
      </c>
      <c r="L50" s="4">
        <v>10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203</v>
      </c>
      <c r="F51" s="4">
        <f>ROUND(Source!Q39,O51)</f>
        <v>37756.239999999998</v>
      </c>
      <c r="G51" s="4" t="s">
        <v>94</v>
      </c>
      <c r="H51" s="4" t="s">
        <v>95</v>
      </c>
      <c r="I51" s="4"/>
      <c r="J51" s="4"/>
      <c r="K51" s="4">
        <v>203</v>
      </c>
      <c r="L51" s="4">
        <v>11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231</v>
      </c>
      <c r="F52" s="4">
        <f>ROUND(Source!BB39,O52)</f>
        <v>81662.740000000005</v>
      </c>
      <c r="G52" s="4" t="s">
        <v>96</v>
      </c>
      <c r="H52" s="4" t="s">
        <v>97</v>
      </c>
      <c r="I52" s="4"/>
      <c r="J52" s="4"/>
      <c r="K52" s="4">
        <v>231</v>
      </c>
      <c r="L52" s="4">
        <v>12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204</v>
      </c>
      <c r="F53" s="4">
        <f>ROUND(Source!R39,O53)</f>
        <v>1839.12</v>
      </c>
      <c r="G53" s="4" t="s">
        <v>98</v>
      </c>
      <c r="H53" s="4" t="s">
        <v>99</v>
      </c>
      <c r="I53" s="4"/>
      <c r="J53" s="4"/>
      <c r="K53" s="4">
        <v>204</v>
      </c>
      <c r="L53" s="4">
        <v>13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205</v>
      </c>
      <c r="F54" s="4">
        <f>ROUND(Source!S39,O54)</f>
        <v>184.51</v>
      </c>
      <c r="G54" s="4" t="s">
        <v>100</v>
      </c>
      <c r="H54" s="4" t="s">
        <v>101</v>
      </c>
      <c r="I54" s="4"/>
      <c r="J54" s="4"/>
      <c r="K54" s="4">
        <v>205</v>
      </c>
      <c r="L54" s="4">
        <v>14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232</v>
      </c>
      <c r="F55" s="4">
        <f>ROUND(Source!BC39,O55)</f>
        <v>343316.3</v>
      </c>
      <c r="G55" s="4" t="s">
        <v>102</v>
      </c>
      <c r="H55" s="4" t="s">
        <v>103</v>
      </c>
      <c r="I55" s="4"/>
      <c r="J55" s="4"/>
      <c r="K55" s="4">
        <v>232</v>
      </c>
      <c r="L55" s="4">
        <v>15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214</v>
      </c>
      <c r="F56" s="4">
        <f>ROUND(Source!AS39,O56)</f>
        <v>787349.32</v>
      </c>
      <c r="G56" s="4" t="s">
        <v>104</v>
      </c>
      <c r="H56" s="4" t="s">
        <v>105</v>
      </c>
      <c r="I56" s="4"/>
      <c r="J56" s="4"/>
      <c r="K56" s="4">
        <v>214</v>
      </c>
      <c r="L56" s="4">
        <v>16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215</v>
      </c>
      <c r="F57" s="4">
        <f>ROUND(Source!AT39,O57)</f>
        <v>0</v>
      </c>
      <c r="G57" s="4" t="s">
        <v>106</v>
      </c>
      <c r="H57" s="4" t="s">
        <v>107</v>
      </c>
      <c r="I57" s="4"/>
      <c r="J57" s="4"/>
      <c r="K57" s="4">
        <v>215</v>
      </c>
      <c r="L57" s="4">
        <v>17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217</v>
      </c>
      <c r="F58" s="4">
        <f>ROUND(Source!AU39,O58)</f>
        <v>33618.9</v>
      </c>
      <c r="G58" s="4" t="s">
        <v>108</v>
      </c>
      <c r="H58" s="4" t="s">
        <v>109</v>
      </c>
      <c r="I58" s="4"/>
      <c r="J58" s="4"/>
      <c r="K58" s="4">
        <v>217</v>
      </c>
      <c r="L58" s="4">
        <v>18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230</v>
      </c>
      <c r="F59" s="4">
        <f>ROUND(Source!BA39,O59)</f>
        <v>3266.1</v>
      </c>
      <c r="G59" s="4" t="s">
        <v>110</v>
      </c>
      <c r="H59" s="4" t="s">
        <v>111</v>
      </c>
      <c r="I59" s="4"/>
      <c r="J59" s="4"/>
      <c r="K59" s="4">
        <v>230</v>
      </c>
      <c r="L59" s="4">
        <v>19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206</v>
      </c>
      <c r="F60" s="4">
        <f>ROUND(Source!T39,O60)</f>
        <v>0</v>
      </c>
      <c r="G60" s="4" t="s">
        <v>112</v>
      </c>
      <c r="H60" s="4" t="s">
        <v>113</v>
      </c>
      <c r="I60" s="4"/>
      <c r="J60" s="4"/>
      <c r="K60" s="4">
        <v>206</v>
      </c>
      <c r="L60" s="4">
        <v>20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207</v>
      </c>
      <c r="F61" s="4">
        <f>Source!U39</f>
        <v>0.84304199999999985</v>
      </c>
      <c r="G61" s="4" t="s">
        <v>114</v>
      </c>
      <c r="H61" s="4" t="s">
        <v>115</v>
      </c>
      <c r="I61" s="4"/>
      <c r="J61" s="4"/>
      <c r="K61" s="4">
        <v>207</v>
      </c>
      <c r="L61" s="4">
        <v>21</v>
      </c>
      <c r="M61" s="4">
        <v>3</v>
      </c>
      <c r="N61" s="4" t="s">
        <v>3</v>
      </c>
      <c r="O61" s="4">
        <v>-1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208</v>
      </c>
      <c r="F62" s="4">
        <f>Source!V39</f>
        <v>0</v>
      </c>
      <c r="G62" s="4" t="s">
        <v>116</v>
      </c>
      <c r="H62" s="4" t="s">
        <v>117</v>
      </c>
      <c r="I62" s="4"/>
      <c r="J62" s="4"/>
      <c r="K62" s="4">
        <v>208</v>
      </c>
      <c r="L62" s="4">
        <v>22</v>
      </c>
      <c r="M62" s="4">
        <v>3</v>
      </c>
      <c r="N62" s="4" t="s">
        <v>3</v>
      </c>
      <c r="O62" s="4">
        <v>-1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209</v>
      </c>
      <c r="F63" s="4">
        <f>ROUND(Source!W39,O63)</f>
        <v>0</v>
      </c>
      <c r="G63" s="4" t="s">
        <v>118</v>
      </c>
      <c r="H63" s="4" t="s">
        <v>119</v>
      </c>
      <c r="I63" s="4"/>
      <c r="J63" s="4"/>
      <c r="K63" s="4">
        <v>209</v>
      </c>
      <c r="L63" s="4">
        <v>23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210</v>
      </c>
      <c r="F64" s="4">
        <f>ROUND(Source!X39,O64)</f>
        <v>169.75</v>
      </c>
      <c r="G64" s="4" t="s">
        <v>120</v>
      </c>
      <c r="H64" s="4" t="s">
        <v>121</v>
      </c>
      <c r="I64" s="4"/>
      <c r="J64" s="4"/>
      <c r="K64" s="4">
        <v>210</v>
      </c>
      <c r="L64" s="4">
        <v>24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211</v>
      </c>
      <c r="F65" s="4">
        <f>ROUND(Source!Y39,O65)</f>
        <v>92.26</v>
      </c>
      <c r="G65" s="4" t="s">
        <v>122</v>
      </c>
      <c r="H65" s="4" t="s">
        <v>123</v>
      </c>
      <c r="I65" s="4"/>
      <c r="J65" s="4"/>
      <c r="K65" s="4">
        <v>211</v>
      </c>
      <c r="L65" s="4">
        <v>25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224</v>
      </c>
      <c r="F66" s="4">
        <f>ROUND(Source!AR39,O66)</f>
        <v>824234.32</v>
      </c>
      <c r="G66" s="4" t="s">
        <v>124</v>
      </c>
      <c r="H66" s="4" t="s">
        <v>125</v>
      </c>
      <c r="I66" s="4"/>
      <c r="J66" s="4"/>
      <c r="K66" s="4">
        <v>224</v>
      </c>
      <c r="L66" s="4">
        <v>26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8" spans="1:245" x14ac:dyDescent="0.2">
      <c r="A68" s="1">
        <v>4</v>
      </c>
      <c r="B68" s="1">
        <v>1</v>
      </c>
      <c r="C68" s="1"/>
      <c r="D68" s="1">
        <f>ROW(A85)</f>
        <v>85</v>
      </c>
      <c r="E68" s="1"/>
      <c r="F68" s="1" t="s">
        <v>12</v>
      </c>
      <c r="G68" s="1" t="s">
        <v>126</v>
      </c>
      <c r="H68" s="1" t="s">
        <v>3</v>
      </c>
      <c r="I68" s="1">
        <v>0</v>
      </c>
      <c r="J68" s="1"/>
      <c r="K68" s="1">
        <v>-1</v>
      </c>
      <c r="L68" s="1"/>
      <c r="M68" s="1"/>
      <c r="N68" s="1"/>
      <c r="O68" s="1"/>
      <c r="P68" s="1"/>
      <c r="Q68" s="1"/>
      <c r="R68" s="1"/>
      <c r="S68" s="1"/>
      <c r="T68" s="1"/>
      <c r="U68" s="1" t="s">
        <v>3</v>
      </c>
      <c r="V68" s="1">
        <v>0</v>
      </c>
      <c r="W68" s="1"/>
      <c r="X68" s="1"/>
      <c r="Y68" s="1"/>
      <c r="Z68" s="1"/>
      <c r="AA68" s="1"/>
      <c r="AB68" s="1" t="s">
        <v>3</v>
      </c>
      <c r="AC68" s="1" t="s">
        <v>3</v>
      </c>
      <c r="AD68" s="1" t="s">
        <v>3</v>
      </c>
      <c r="AE68" s="1" t="s">
        <v>3</v>
      </c>
      <c r="AF68" s="1" t="s">
        <v>3</v>
      </c>
      <c r="AG68" s="1" t="s">
        <v>3</v>
      </c>
      <c r="AH68" s="1"/>
      <c r="AI68" s="1"/>
      <c r="AJ68" s="1"/>
      <c r="AK68" s="1"/>
      <c r="AL68" s="1"/>
      <c r="AM68" s="1"/>
      <c r="AN68" s="1"/>
      <c r="AO68" s="1"/>
      <c r="AP68" s="1" t="s">
        <v>3</v>
      </c>
      <c r="AQ68" s="1" t="s">
        <v>3</v>
      </c>
      <c r="AR68" s="1" t="s">
        <v>3</v>
      </c>
      <c r="AS68" s="1"/>
      <c r="AT68" s="1"/>
      <c r="AU68" s="1"/>
      <c r="AV68" s="1"/>
      <c r="AW68" s="1"/>
      <c r="AX68" s="1"/>
      <c r="AY68" s="1"/>
      <c r="AZ68" s="1" t="s">
        <v>3</v>
      </c>
      <c r="BA68" s="1"/>
      <c r="BB68" s="1" t="s">
        <v>3</v>
      </c>
      <c r="BC68" s="1" t="s">
        <v>3</v>
      </c>
      <c r="BD68" s="1" t="s">
        <v>3</v>
      </c>
      <c r="BE68" s="1" t="s">
        <v>3</v>
      </c>
      <c r="BF68" s="1" t="s">
        <v>3</v>
      </c>
      <c r="BG68" s="1" t="s">
        <v>3</v>
      </c>
      <c r="BH68" s="1" t="s">
        <v>3</v>
      </c>
      <c r="BI68" s="1" t="s">
        <v>3</v>
      </c>
      <c r="BJ68" s="1" t="s">
        <v>3</v>
      </c>
      <c r="BK68" s="1" t="s">
        <v>3</v>
      </c>
      <c r="BL68" s="1" t="s">
        <v>3</v>
      </c>
      <c r="BM68" s="1" t="s">
        <v>3</v>
      </c>
      <c r="BN68" s="1" t="s">
        <v>3</v>
      </c>
      <c r="BO68" s="1" t="s">
        <v>3</v>
      </c>
      <c r="BP68" s="1" t="s">
        <v>3</v>
      </c>
      <c r="BQ68" s="1"/>
      <c r="BR68" s="1"/>
      <c r="BS68" s="1"/>
      <c r="BT68" s="1"/>
      <c r="BU68" s="1"/>
      <c r="BV68" s="1"/>
      <c r="BW68" s="1"/>
      <c r="BX68" s="1">
        <v>0</v>
      </c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>
        <v>0</v>
      </c>
    </row>
    <row r="70" spans="1:245" x14ac:dyDescent="0.2">
      <c r="A70" s="2">
        <v>52</v>
      </c>
      <c r="B70" s="2">
        <f t="shared" ref="B70:G70" si="54">B85</f>
        <v>1</v>
      </c>
      <c r="C70" s="2">
        <f t="shared" si="54"/>
        <v>4</v>
      </c>
      <c r="D70" s="2">
        <f t="shared" si="54"/>
        <v>68</v>
      </c>
      <c r="E70" s="2">
        <f t="shared" si="54"/>
        <v>0</v>
      </c>
      <c r="F70" s="2" t="str">
        <f t="shared" si="54"/>
        <v>Новый раздел</v>
      </c>
      <c r="G70" s="2" t="str">
        <f t="shared" si="54"/>
        <v>ТЕПЛОВАЯ СЕТЬ 2Ду100 в ППУ-ПЭ непроходном канале - 20.5м</v>
      </c>
      <c r="H70" s="2"/>
      <c r="I70" s="2"/>
      <c r="J70" s="2"/>
      <c r="K70" s="2"/>
      <c r="L70" s="2"/>
      <c r="M70" s="2"/>
      <c r="N70" s="2"/>
      <c r="O70" s="2">
        <f t="shared" ref="O70:AT70" si="55">O85</f>
        <v>1246560.51</v>
      </c>
      <c r="P70" s="2">
        <f t="shared" si="55"/>
        <v>1006331</v>
      </c>
      <c r="Q70" s="2">
        <f t="shared" si="55"/>
        <v>203504.92</v>
      </c>
      <c r="R70" s="2">
        <f t="shared" si="55"/>
        <v>9381.84</v>
      </c>
      <c r="S70" s="2">
        <f t="shared" si="55"/>
        <v>36724.589999999997</v>
      </c>
      <c r="T70" s="2">
        <f t="shared" si="55"/>
        <v>0</v>
      </c>
      <c r="U70" s="2">
        <f t="shared" si="55"/>
        <v>122.89146192</v>
      </c>
      <c r="V70" s="2">
        <f t="shared" si="55"/>
        <v>0</v>
      </c>
      <c r="W70" s="2">
        <f t="shared" si="55"/>
        <v>0</v>
      </c>
      <c r="X70" s="2">
        <f t="shared" si="55"/>
        <v>38817.03</v>
      </c>
      <c r="Y70" s="2">
        <f t="shared" si="55"/>
        <v>19440.240000000002</v>
      </c>
      <c r="Z70" s="2">
        <f t="shared" si="55"/>
        <v>0</v>
      </c>
      <c r="AA70" s="2">
        <f t="shared" si="55"/>
        <v>0</v>
      </c>
      <c r="AB70" s="2">
        <f t="shared" si="55"/>
        <v>1246560.51</v>
      </c>
      <c r="AC70" s="2">
        <f t="shared" si="55"/>
        <v>1006331</v>
      </c>
      <c r="AD70" s="2">
        <f t="shared" si="55"/>
        <v>203504.92</v>
      </c>
      <c r="AE70" s="2">
        <f t="shared" si="55"/>
        <v>9381.84</v>
      </c>
      <c r="AF70" s="2">
        <f t="shared" si="55"/>
        <v>36724.589999999997</v>
      </c>
      <c r="AG70" s="2">
        <f t="shared" si="55"/>
        <v>0</v>
      </c>
      <c r="AH70" s="2">
        <f t="shared" si="55"/>
        <v>122.89146192</v>
      </c>
      <c r="AI70" s="2">
        <f t="shared" si="55"/>
        <v>0</v>
      </c>
      <c r="AJ70" s="2">
        <f t="shared" si="55"/>
        <v>0</v>
      </c>
      <c r="AK70" s="2">
        <f t="shared" si="55"/>
        <v>38817.03</v>
      </c>
      <c r="AL70" s="2">
        <f t="shared" si="55"/>
        <v>19440.240000000002</v>
      </c>
      <c r="AM70" s="2">
        <f t="shared" si="55"/>
        <v>0</v>
      </c>
      <c r="AN70" s="2">
        <f t="shared" si="55"/>
        <v>0</v>
      </c>
      <c r="AO70" s="2">
        <f t="shared" si="55"/>
        <v>0</v>
      </c>
      <c r="AP70" s="2">
        <f t="shared" si="55"/>
        <v>0</v>
      </c>
      <c r="AQ70" s="2">
        <f t="shared" si="55"/>
        <v>0</v>
      </c>
      <c r="AR70" s="2">
        <f t="shared" si="55"/>
        <v>2438697.02</v>
      </c>
      <c r="AS70" s="2">
        <f t="shared" si="55"/>
        <v>2257186.37</v>
      </c>
      <c r="AT70" s="2">
        <f t="shared" si="55"/>
        <v>0</v>
      </c>
      <c r="AU70" s="2">
        <f t="shared" ref="AU70:BZ70" si="56">AU85</f>
        <v>181510.65</v>
      </c>
      <c r="AV70" s="2">
        <f t="shared" si="56"/>
        <v>1006331</v>
      </c>
      <c r="AW70" s="2">
        <f t="shared" si="56"/>
        <v>1006331</v>
      </c>
      <c r="AX70" s="2">
        <f t="shared" si="56"/>
        <v>0</v>
      </c>
      <c r="AY70" s="2">
        <f t="shared" si="56"/>
        <v>1006331</v>
      </c>
      <c r="AZ70" s="2">
        <f t="shared" si="56"/>
        <v>0</v>
      </c>
      <c r="BA70" s="2">
        <f t="shared" si="56"/>
        <v>0</v>
      </c>
      <c r="BB70" s="2">
        <f t="shared" si="56"/>
        <v>345184.88</v>
      </c>
      <c r="BC70" s="2">
        <f t="shared" si="56"/>
        <v>773964.87</v>
      </c>
      <c r="BD70" s="2">
        <f t="shared" si="56"/>
        <v>0</v>
      </c>
      <c r="BE70" s="2">
        <f t="shared" si="56"/>
        <v>0</v>
      </c>
      <c r="BF70" s="2">
        <f t="shared" si="56"/>
        <v>0</v>
      </c>
      <c r="BG70" s="2">
        <f t="shared" si="56"/>
        <v>0</v>
      </c>
      <c r="BH70" s="2">
        <f t="shared" si="56"/>
        <v>0</v>
      </c>
      <c r="BI70" s="2">
        <f t="shared" si="56"/>
        <v>0</v>
      </c>
      <c r="BJ70" s="2">
        <f t="shared" si="56"/>
        <v>0</v>
      </c>
      <c r="BK70" s="2">
        <f t="shared" si="56"/>
        <v>0</v>
      </c>
      <c r="BL70" s="2">
        <f t="shared" si="56"/>
        <v>0</v>
      </c>
      <c r="BM70" s="2">
        <f t="shared" si="56"/>
        <v>0</v>
      </c>
      <c r="BN70" s="2">
        <f t="shared" si="56"/>
        <v>0</v>
      </c>
      <c r="BO70" s="2">
        <f t="shared" si="56"/>
        <v>0</v>
      </c>
      <c r="BP70" s="2">
        <f t="shared" si="56"/>
        <v>0</v>
      </c>
      <c r="BQ70" s="2">
        <f t="shared" si="56"/>
        <v>0</v>
      </c>
      <c r="BR70" s="2">
        <f t="shared" si="56"/>
        <v>0</v>
      </c>
      <c r="BS70" s="2">
        <f t="shared" si="56"/>
        <v>0</v>
      </c>
      <c r="BT70" s="2">
        <f t="shared" si="56"/>
        <v>0</v>
      </c>
      <c r="BU70" s="2">
        <f t="shared" si="56"/>
        <v>0</v>
      </c>
      <c r="BV70" s="2">
        <f t="shared" si="56"/>
        <v>0</v>
      </c>
      <c r="BW70" s="2">
        <f t="shared" si="56"/>
        <v>0</v>
      </c>
      <c r="BX70" s="2">
        <f t="shared" si="56"/>
        <v>0</v>
      </c>
      <c r="BY70" s="2">
        <f t="shared" si="56"/>
        <v>0</v>
      </c>
      <c r="BZ70" s="2">
        <f t="shared" si="56"/>
        <v>0</v>
      </c>
      <c r="CA70" s="2">
        <f t="shared" ref="CA70:DF70" si="57">CA85</f>
        <v>2438697.02</v>
      </c>
      <c r="CB70" s="2">
        <f t="shared" si="57"/>
        <v>2257186.37</v>
      </c>
      <c r="CC70" s="2">
        <f t="shared" si="57"/>
        <v>0</v>
      </c>
      <c r="CD70" s="2">
        <f t="shared" si="57"/>
        <v>181510.65</v>
      </c>
      <c r="CE70" s="2">
        <f t="shared" si="57"/>
        <v>1006331</v>
      </c>
      <c r="CF70" s="2">
        <f t="shared" si="57"/>
        <v>1006331</v>
      </c>
      <c r="CG70" s="2">
        <f t="shared" si="57"/>
        <v>0</v>
      </c>
      <c r="CH70" s="2">
        <f t="shared" si="57"/>
        <v>1006331</v>
      </c>
      <c r="CI70" s="2">
        <f t="shared" si="57"/>
        <v>0</v>
      </c>
      <c r="CJ70" s="2">
        <f t="shared" si="57"/>
        <v>0</v>
      </c>
      <c r="CK70" s="2">
        <f t="shared" si="57"/>
        <v>345184.88</v>
      </c>
      <c r="CL70" s="2">
        <f t="shared" si="57"/>
        <v>773964.87</v>
      </c>
      <c r="CM70" s="2">
        <f t="shared" si="57"/>
        <v>0</v>
      </c>
      <c r="CN70" s="2">
        <f t="shared" si="57"/>
        <v>0</v>
      </c>
      <c r="CO70" s="2">
        <f t="shared" si="57"/>
        <v>0</v>
      </c>
      <c r="CP70" s="2">
        <f t="shared" si="57"/>
        <v>0</v>
      </c>
      <c r="CQ70" s="2">
        <f t="shared" si="57"/>
        <v>0</v>
      </c>
      <c r="CR70" s="2">
        <f t="shared" si="57"/>
        <v>0</v>
      </c>
      <c r="CS70" s="2">
        <f t="shared" si="57"/>
        <v>0</v>
      </c>
      <c r="CT70" s="2">
        <f t="shared" si="57"/>
        <v>0</v>
      </c>
      <c r="CU70" s="2">
        <f t="shared" si="57"/>
        <v>0</v>
      </c>
      <c r="CV70" s="2">
        <f t="shared" si="57"/>
        <v>0</v>
      </c>
      <c r="CW70" s="2">
        <f t="shared" si="57"/>
        <v>0</v>
      </c>
      <c r="CX70" s="2">
        <f t="shared" si="57"/>
        <v>0</v>
      </c>
      <c r="CY70" s="2">
        <f t="shared" si="57"/>
        <v>0</v>
      </c>
      <c r="CZ70" s="2">
        <f t="shared" si="57"/>
        <v>0</v>
      </c>
      <c r="DA70" s="2">
        <f t="shared" si="57"/>
        <v>0</v>
      </c>
      <c r="DB70" s="2">
        <f t="shared" si="57"/>
        <v>0</v>
      </c>
      <c r="DC70" s="2">
        <f t="shared" si="57"/>
        <v>0</v>
      </c>
      <c r="DD70" s="2">
        <f t="shared" si="57"/>
        <v>0</v>
      </c>
      <c r="DE70" s="2">
        <f t="shared" si="57"/>
        <v>0</v>
      </c>
      <c r="DF70" s="2">
        <f t="shared" si="57"/>
        <v>0</v>
      </c>
      <c r="DG70" s="3">
        <f t="shared" ref="DG70:EL70" si="58">DG85</f>
        <v>0</v>
      </c>
      <c r="DH70" s="3">
        <f t="shared" si="58"/>
        <v>0</v>
      </c>
      <c r="DI70" s="3">
        <f t="shared" si="58"/>
        <v>0</v>
      </c>
      <c r="DJ70" s="3">
        <f t="shared" si="58"/>
        <v>0</v>
      </c>
      <c r="DK70" s="3">
        <f t="shared" si="58"/>
        <v>0</v>
      </c>
      <c r="DL70" s="3">
        <f t="shared" si="58"/>
        <v>0</v>
      </c>
      <c r="DM70" s="3">
        <f t="shared" si="58"/>
        <v>0</v>
      </c>
      <c r="DN70" s="3">
        <f t="shared" si="58"/>
        <v>0</v>
      </c>
      <c r="DO70" s="3">
        <f t="shared" si="58"/>
        <v>0</v>
      </c>
      <c r="DP70" s="3">
        <f t="shared" si="58"/>
        <v>0</v>
      </c>
      <c r="DQ70" s="3">
        <f t="shared" si="58"/>
        <v>0</v>
      </c>
      <c r="DR70" s="3">
        <f t="shared" si="58"/>
        <v>0</v>
      </c>
      <c r="DS70" s="3">
        <f t="shared" si="58"/>
        <v>0</v>
      </c>
      <c r="DT70" s="3">
        <f t="shared" si="58"/>
        <v>0</v>
      </c>
      <c r="DU70" s="3">
        <f t="shared" si="58"/>
        <v>0</v>
      </c>
      <c r="DV70" s="3">
        <f t="shared" si="58"/>
        <v>0</v>
      </c>
      <c r="DW70" s="3">
        <f t="shared" si="58"/>
        <v>0</v>
      </c>
      <c r="DX70" s="3">
        <f t="shared" si="58"/>
        <v>0</v>
      </c>
      <c r="DY70" s="3">
        <f t="shared" si="58"/>
        <v>0</v>
      </c>
      <c r="DZ70" s="3">
        <f t="shared" si="58"/>
        <v>0</v>
      </c>
      <c r="EA70" s="3">
        <f t="shared" si="58"/>
        <v>0</v>
      </c>
      <c r="EB70" s="3">
        <f t="shared" si="58"/>
        <v>0</v>
      </c>
      <c r="EC70" s="3">
        <f t="shared" si="58"/>
        <v>0</v>
      </c>
      <c r="ED70" s="3">
        <f t="shared" si="58"/>
        <v>0</v>
      </c>
      <c r="EE70" s="3">
        <f t="shared" si="58"/>
        <v>0</v>
      </c>
      <c r="EF70" s="3">
        <f t="shared" si="58"/>
        <v>0</v>
      </c>
      <c r="EG70" s="3">
        <f t="shared" si="58"/>
        <v>0</v>
      </c>
      <c r="EH70" s="3">
        <f t="shared" si="58"/>
        <v>0</v>
      </c>
      <c r="EI70" s="3">
        <f t="shared" si="58"/>
        <v>0</v>
      </c>
      <c r="EJ70" s="3">
        <f t="shared" si="58"/>
        <v>0</v>
      </c>
      <c r="EK70" s="3">
        <f t="shared" si="58"/>
        <v>0</v>
      </c>
      <c r="EL70" s="3">
        <f t="shared" si="58"/>
        <v>0</v>
      </c>
      <c r="EM70" s="3">
        <f t="shared" ref="EM70:FR70" si="59">EM85</f>
        <v>0</v>
      </c>
      <c r="EN70" s="3">
        <f t="shared" si="59"/>
        <v>0</v>
      </c>
      <c r="EO70" s="3">
        <f t="shared" si="59"/>
        <v>0</v>
      </c>
      <c r="EP70" s="3">
        <f t="shared" si="59"/>
        <v>0</v>
      </c>
      <c r="EQ70" s="3">
        <f t="shared" si="59"/>
        <v>0</v>
      </c>
      <c r="ER70" s="3">
        <f t="shared" si="59"/>
        <v>0</v>
      </c>
      <c r="ES70" s="3">
        <f t="shared" si="59"/>
        <v>0</v>
      </c>
      <c r="ET70" s="3">
        <f t="shared" si="59"/>
        <v>0</v>
      </c>
      <c r="EU70" s="3">
        <f t="shared" si="59"/>
        <v>0</v>
      </c>
      <c r="EV70" s="3">
        <f t="shared" si="59"/>
        <v>0</v>
      </c>
      <c r="EW70" s="3">
        <f t="shared" si="59"/>
        <v>0</v>
      </c>
      <c r="EX70" s="3">
        <f t="shared" si="59"/>
        <v>0</v>
      </c>
      <c r="EY70" s="3">
        <f t="shared" si="59"/>
        <v>0</v>
      </c>
      <c r="EZ70" s="3">
        <f t="shared" si="59"/>
        <v>0</v>
      </c>
      <c r="FA70" s="3">
        <f t="shared" si="59"/>
        <v>0</v>
      </c>
      <c r="FB70" s="3">
        <f t="shared" si="59"/>
        <v>0</v>
      </c>
      <c r="FC70" s="3">
        <f t="shared" si="59"/>
        <v>0</v>
      </c>
      <c r="FD70" s="3">
        <f t="shared" si="59"/>
        <v>0</v>
      </c>
      <c r="FE70" s="3">
        <f t="shared" si="59"/>
        <v>0</v>
      </c>
      <c r="FF70" s="3">
        <f t="shared" si="59"/>
        <v>0</v>
      </c>
      <c r="FG70" s="3">
        <f t="shared" si="59"/>
        <v>0</v>
      </c>
      <c r="FH70" s="3">
        <f t="shared" si="59"/>
        <v>0</v>
      </c>
      <c r="FI70" s="3">
        <f t="shared" si="59"/>
        <v>0</v>
      </c>
      <c r="FJ70" s="3">
        <f t="shared" si="59"/>
        <v>0</v>
      </c>
      <c r="FK70" s="3">
        <f t="shared" si="59"/>
        <v>0</v>
      </c>
      <c r="FL70" s="3">
        <f t="shared" si="59"/>
        <v>0</v>
      </c>
      <c r="FM70" s="3">
        <f t="shared" si="59"/>
        <v>0</v>
      </c>
      <c r="FN70" s="3">
        <f t="shared" si="59"/>
        <v>0</v>
      </c>
      <c r="FO70" s="3">
        <f t="shared" si="59"/>
        <v>0</v>
      </c>
      <c r="FP70" s="3">
        <f t="shared" si="59"/>
        <v>0</v>
      </c>
      <c r="FQ70" s="3">
        <f t="shared" si="59"/>
        <v>0</v>
      </c>
      <c r="FR70" s="3">
        <f t="shared" si="59"/>
        <v>0</v>
      </c>
      <c r="FS70" s="3">
        <f t="shared" ref="FS70:GX70" si="60">FS85</f>
        <v>0</v>
      </c>
      <c r="FT70" s="3">
        <f t="shared" si="60"/>
        <v>0</v>
      </c>
      <c r="FU70" s="3">
        <f t="shared" si="60"/>
        <v>0</v>
      </c>
      <c r="FV70" s="3">
        <f t="shared" si="60"/>
        <v>0</v>
      </c>
      <c r="FW70" s="3">
        <f t="shared" si="60"/>
        <v>0</v>
      </c>
      <c r="FX70" s="3">
        <f t="shared" si="60"/>
        <v>0</v>
      </c>
      <c r="FY70" s="3">
        <f t="shared" si="60"/>
        <v>0</v>
      </c>
      <c r="FZ70" s="3">
        <f t="shared" si="60"/>
        <v>0</v>
      </c>
      <c r="GA70" s="3">
        <f t="shared" si="60"/>
        <v>0</v>
      </c>
      <c r="GB70" s="3">
        <f t="shared" si="60"/>
        <v>0</v>
      </c>
      <c r="GC70" s="3">
        <f t="shared" si="60"/>
        <v>0</v>
      </c>
      <c r="GD70" s="3">
        <f t="shared" si="60"/>
        <v>0</v>
      </c>
      <c r="GE70" s="3">
        <f t="shared" si="60"/>
        <v>0</v>
      </c>
      <c r="GF70" s="3">
        <f t="shared" si="60"/>
        <v>0</v>
      </c>
      <c r="GG70" s="3">
        <f t="shared" si="60"/>
        <v>0</v>
      </c>
      <c r="GH70" s="3">
        <f t="shared" si="60"/>
        <v>0</v>
      </c>
      <c r="GI70" s="3">
        <f t="shared" si="60"/>
        <v>0</v>
      </c>
      <c r="GJ70" s="3">
        <f t="shared" si="60"/>
        <v>0</v>
      </c>
      <c r="GK70" s="3">
        <f t="shared" si="60"/>
        <v>0</v>
      </c>
      <c r="GL70" s="3">
        <f t="shared" si="60"/>
        <v>0</v>
      </c>
      <c r="GM70" s="3">
        <f t="shared" si="60"/>
        <v>0</v>
      </c>
      <c r="GN70" s="3">
        <f t="shared" si="60"/>
        <v>0</v>
      </c>
      <c r="GO70" s="3">
        <f t="shared" si="60"/>
        <v>0</v>
      </c>
      <c r="GP70" s="3">
        <f t="shared" si="60"/>
        <v>0</v>
      </c>
      <c r="GQ70" s="3">
        <f t="shared" si="60"/>
        <v>0</v>
      </c>
      <c r="GR70" s="3">
        <f t="shared" si="60"/>
        <v>0</v>
      </c>
      <c r="GS70" s="3">
        <f t="shared" si="60"/>
        <v>0</v>
      </c>
      <c r="GT70" s="3">
        <f t="shared" si="60"/>
        <v>0</v>
      </c>
      <c r="GU70" s="3">
        <f t="shared" si="60"/>
        <v>0</v>
      </c>
      <c r="GV70" s="3">
        <f t="shared" si="60"/>
        <v>0</v>
      </c>
      <c r="GW70" s="3">
        <f t="shared" si="60"/>
        <v>0</v>
      </c>
      <c r="GX70" s="3">
        <f t="shared" si="60"/>
        <v>0</v>
      </c>
    </row>
    <row r="72" spans="1:245" x14ac:dyDescent="0.2">
      <c r="A72">
        <v>17</v>
      </c>
      <c r="B72">
        <v>1</v>
      </c>
      <c r="C72">
        <f>ROW(SmtRes!A17)</f>
        <v>17</v>
      </c>
      <c r="D72">
        <f>ROW(EtalonRes!A15)</f>
        <v>15</v>
      </c>
      <c r="E72" t="s">
        <v>127</v>
      </c>
      <c r="F72" t="s">
        <v>128</v>
      </c>
      <c r="G72" t="s">
        <v>129</v>
      </c>
      <c r="H72" t="s">
        <v>130</v>
      </c>
      <c r="I72">
        <v>20.5</v>
      </c>
      <c r="J72">
        <v>0</v>
      </c>
      <c r="O72">
        <f t="shared" ref="O72:O83" si="61">ROUND(CP72,2)</f>
        <v>924991.49</v>
      </c>
      <c r="P72">
        <f t="shared" ref="P72:P83" si="62">ROUND((ROUND((AC72*AW72*I72),2)*BC72),2)</f>
        <v>924991.49</v>
      </c>
      <c r="Q72">
        <f>0</f>
        <v>0</v>
      </c>
      <c r="R72">
        <f t="shared" ref="R72:R83" si="63">ROUND((ROUND((AE72*AV72*I72),2)*BS72),2)</f>
        <v>0</v>
      </c>
      <c r="S72">
        <f>0</f>
        <v>0</v>
      </c>
      <c r="T72">
        <f t="shared" ref="T72:T83" si="64">ROUND(CU72*I72,2)</f>
        <v>0</v>
      </c>
      <c r="U72">
        <f t="shared" ref="U72:U83" si="65">CV72*I72</f>
        <v>0</v>
      </c>
      <c r="V72">
        <f t="shared" ref="V72:V83" si="66">CW72*I72</f>
        <v>0</v>
      </c>
      <c r="W72">
        <f t="shared" ref="W72:W83" si="67">ROUND(CX72*I72,2)</f>
        <v>0</v>
      </c>
      <c r="X72">
        <f t="shared" ref="X72:X83" si="68">ROUND(CY72,2)</f>
        <v>0</v>
      </c>
      <c r="Y72">
        <f t="shared" ref="Y72:Y83" si="69">ROUND(CZ72,2)</f>
        <v>0</v>
      </c>
      <c r="AA72">
        <v>309315610</v>
      </c>
      <c r="AB72">
        <f>ROUND((AC72+0+0),6)</f>
        <v>7372.8</v>
      </c>
      <c r="AC72">
        <f>ROUND(((ES72*0.96*0.96)),6)</f>
        <v>7372.8</v>
      </c>
      <c r="AD72">
        <f>ROUND(((((ET72*1.15*0.98*0.96))-((EU72*1.15*0.98*0.96)))+AE72),6)</f>
        <v>1599.0777599999999</v>
      </c>
      <c r="AE72">
        <f>ROUND(((EU72*1.15*0.98*0.96)),6)</f>
        <v>0</v>
      </c>
      <c r="AF72">
        <f>ROUND(((EV72*1.15*0.96*0.96)),6)</f>
        <v>2174.7916799999998</v>
      </c>
      <c r="AG72">
        <f t="shared" ref="AG72:AG83" si="70">ROUND((AP72),6)</f>
        <v>0</v>
      </c>
      <c r="AH72">
        <f>((EW72*1.15*0.96*0.96))</f>
        <v>0</v>
      </c>
      <c r="AI72">
        <f>((EX72*1.15*0.98*0.96))</f>
        <v>0</v>
      </c>
      <c r="AJ72">
        <f t="shared" ref="AJ72:AJ83" si="71">(AS72)</f>
        <v>0</v>
      </c>
      <c r="AK72">
        <v>11530</v>
      </c>
      <c r="AL72">
        <v>8000</v>
      </c>
      <c r="AM72">
        <v>1478</v>
      </c>
      <c r="AN72">
        <v>0</v>
      </c>
      <c r="AO72">
        <v>2052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1</v>
      </c>
      <c r="BA72">
        <v>17.36</v>
      </c>
      <c r="BB72">
        <v>10.53</v>
      </c>
      <c r="BC72">
        <v>6.12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131</v>
      </c>
      <c r="BM72">
        <v>1114</v>
      </c>
      <c r="BN72">
        <v>0</v>
      </c>
      <c r="BO72" t="s">
        <v>128</v>
      </c>
      <c r="BP72">
        <v>1</v>
      </c>
      <c r="BQ72">
        <v>160</v>
      </c>
      <c r="BR72">
        <v>0</v>
      </c>
      <c r="BS72">
        <v>17.36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0</v>
      </c>
      <c r="CA72">
        <v>0</v>
      </c>
      <c r="CE72">
        <v>30</v>
      </c>
      <c r="CF72">
        <v>0</v>
      </c>
      <c r="CG72">
        <v>0</v>
      </c>
      <c r="CM72">
        <v>0</v>
      </c>
      <c r="CN72" t="s">
        <v>19</v>
      </c>
      <c r="CO72">
        <v>0</v>
      </c>
      <c r="CP72">
        <f t="shared" ref="CP72:CP83" si="72">(P72+Q72+S72)</f>
        <v>924991.49</v>
      </c>
      <c r="CQ72">
        <f t="shared" ref="CQ72:CQ83" si="73">ROUND((ROUND((AC72*AW72*1),2)*BC72),2)</f>
        <v>45121.54</v>
      </c>
      <c r="CR72">
        <f>(ROUND((ROUND((((ET72*1.15*0.98*0.96))*AV72*1),2)*BB72),2)+ROUND((ROUND(((AE72-((EU72*1.15*0.98*0.96)))*AV72*1),2)*BS72),2))</f>
        <v>16838.310000000001</v>
      </c>
      <c r="CS72">
        <f t="shared" ref="CS72:CS83" si="74">ROUND((ROUND((AE72*AV72*1),2)*BS72),2)</f>
        <v>0</v>
      </c>
      <c r="CT72">
        <f t="shared" ref="CT72:CT83" si="75">ROUND((ROUND((AF72*AV72*1),2)*BA72),2)</f>
        <v>37754.35</v>
      </c>
      <c r="CU72">
        <f t="shared" ref="CU72:CU83" si="76">AG72</f>
        <v>0</v>
      </c>
      <c r="CV72">
        <f t="shared" ref="CV72:CV83" si="77">(AH72*AV72)</f>
        <v>0</v>
      </c>
      <c r="CW72">
        <f t="shared" ref="CW72:CW83" si="78">AI72</f>
        <v>0</v>
      </c>
      <c r="CX72">
        <f t="shared" ref="CX72:CX83" si="79">AJ72</f>
        <v>0</v>
      </c>
      <c r="CY72">
        <f t="shared" ref="CY72:CY83" si="80">S72*(BZ72/100)</f>
        <v>0</v>
      </c>
      <c r="CZ72">
        <f t="shared" ref="CZ72:CZ83" si="81">S72*(CA72/100)</f>
        <v>0</v>
      </c>
      <c r="DC72" t="s">
        <v>3</v>
      </c>
      <c r="DD72" t="s">
        <v>132</v>
      </c>
      <c r="DE72" t="s">
        <v>133</v>
      </c>
      <c r="DF72" t="s">
        <v>133</v>
      </c>
      <c r="DG72" t="s">
        <v>134</v>
      </c>
      <c r="DH72" t="s">
        <v>3</v>
      </c>
      <c r="DI72" t="s">
        <v>134</v>
      </c>
      <c r="DJ72" t="s">
        <v>133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130</v>
      </c>
      <c r="DW72" t="s">
        <v>130</v>
      </c>
      <c r="DX72">
        <v>1</v>
      </c>
      <c r="EE72">
        <v>298189190</v>
      </c>
      <c r="EF72">
        <v>160</v>
      </c>
      <c r="EG72" t="s">
        <v>23</v>
      </c>
      <c r="EH72">
        <v>0</v>
      </c>
      <c r="EI72" t="s">
        <v>3</v>
      </c>
      <c r="EJ72">
        <v>1</v>
      </c>
      <c r="EK72">
        <v>1114</v>
      </c>
      <c r="EL72" t="s">
        <v>24</v>
      </c>
      <c r="EM72" t="s">
        <v>25</v>
      </c>
      <c r="EO72" t="s">
        <v>3</v>
      </c>
      <c r="EQ72">
        <v>512</v>
      </c>
      <c r="ER72">
        <v>11530</v>
      </c>
      <c r="ES72">
        <v>8000</v>
      </c>
      <c r="ET72">
        <v>1478</v>
      </c>
      <c r="EU72">
        <v>0</v>
      </c>
      <c r="EV72">
        <v>2052</v>
      </c>
      <c r="EW72">
        <v>0</v>
      </c>
      <c r="EX72">
        <v>0</v>
      </c>
      <c r="EY72">
        <v>1</v>
      </c>
      <c r="FQ72">
        <v>0</v>
      </c>
      <c r="FR72">
        <f t="shared" ref="FR72:FR83" si="82">ROUND(IF(AND(BH72=3,BI72=3),P72,0),2)</f>
        <v>0</v>
      </c>
      <c r="FS72">
        <v>0</v>
      </c>
      <c r="FX72">
        <v>0</v>
      </c>
      <c r="FY72">
        <v>0</v>
      </c>
      <c r="GA72" t="s">
        <v>3</v>
      </c>
      <c r="GD72">
        <v>1</v>
      </c>
      <c r="GF72">
        <v>-1209294873</v>
      </c>
      <c r="GG72">
        <v>2</v>
      </c>
      <c r="GH72">
        <v>1</v>
      </c>
      <c r="GI72">
        <v>2</v>
      </c>
      <c r="GJ72">
        <v>3</v>
      </c>
      <c r="GK72">
        <v>0</v>
      </c>
      <c r="GL72">
        <f t="shared" ref="GL72:GL83" si="83">ROUND(IF(AND(BH72=3,BI72=3,FS72&lt;&gt;0),P72,0),2)</f>
        <v>0</v>
      </c>
      <c r="GM72">
        <f>ROUND(P72+GY72+GZ72,2)+GX72</f>
        <v>2044141.24</v>
      </c>
      <c r="GN72">
        <f>IF(OR(BI72=0,BI72=1),ROUND(P72+GY72+GZ72,2),0)</f>
        <v>2044141.24</v>
      </c>
      <c r="GO72">
        <f>IF(BI72=2,ROUND(P72+GY72+GZ72,2),0)</f>
        <v>0</v>
      </c>
      <c r="GP72">
        <f>IF(BI72=4,ROUND(P72+GY72+GZ72,2)+GX72,0)</f>
        <v>0</v>
      </c>
      <c r="GR72">
        <v>0</v>
      </c>
      <c r="GS72">
        <v>0</v>
      </c>
      <c r="GT72">
        <v>0</v>
      </c>
      <c r="GU72" t="s">
        <v>3</v>
      </c>
      <c r="GV72">
        <f t="shared" ref="GV72:GV83" si="84">ROUND((GT72),6)</f>
        <v>0</v>
      </c>
      <c r="GW72">
        <v>1</v>
      </c>
      <c r="GX72">
        <f t="shared" ref="GX72:GX83" si="85">ROUND(HC72*I72,2)</f>
        <v>0</v>
      </c>
      <c r="GY72">
        <f>(ROUND((ROUND((((ET72*1.15*0.98*0.96))*AV72*I72),2)*BB72),2)+ROUND((ROUND(((AE72-((EU72*1.15*0.98*0.96)))*AV72*I72),2)*BS72),2))</f>
        <v>345184.88</v>
      </c>
      <c r="GZ72">
        <f>ROUND((ROUND((AF72*AV72*I72),2)*BA72),2)</f>
        <v>773964.87</v>
      </c>
      <c r="HA72">
        <v>11.657</v>
      </c>
      <c r="HB72">
        <v>4.2854000000000001</v>
      </c>
      <c r="HC72">
        <f t="shared" ref="HC72:HC83" si="86">GV72*GW72</f>
        <v>0</v>
      </c>
      <c r="IK72">
        <v>0</v>
      </c>
    </row>
    <row r="73" spans="1:245" x14ac:dyDescent="0.2">
      <c r="A73">
        <v>18</v>
      </c>
      <c r="B73">
        <v>1</v>
      </c>
      <c r="C73">
        <v>14</v>
      </c>
      <c r="E73" t="s">
        <v>135</v>
      </c>
      <c r="F73" t="s">
        <v>136</v>
      </c>
      <c r="G73" t="s">
        <v>137</v>
      </c>
      <c r="H73" t="s">
        <v>33</v>
      </c>
      <c r="I73">
        <f>I72*J73</f>
        <v>-1.845</v>
      </c>
      <c r="J73">
        <v>-0.09</v>
      </c>
      <c r="O73">
        <f t="shared" si="61"/>
        <v>-4120.5200000000004</v>
      </c>
      <c r="P73">
        <f t="shared" si="62"/>
        <v>-4120.5200000000004</v>
      </c>
      <c r="Q73">
        <f>(ROUND((ROUND(((ET73)*AV73*I73),2)*BB73),2)+ROUND((ROUND(((AE73-(EU73))*AV73*I73),2)*BS73),2))</f>
        <v>0</v>
      </c>
      <c r="R73">
        <f t="shared" si="63"/>
        <v>0</v>
      </c>
      <c r="S73">
        <f t="shared" ref="S73:S83" si="87">ROUND((ROUND((AF73*AV73*I73),2)*BA73),2)</f>
        <v>0</v>
      </c>
      <c r="T73">
        <f t="shared" si="64"/>
        <v>0</v>
      </c>
      <c r="U73">
        <f t="shared" si="65"/>
        <v>0</v>
      </c>
      <c r="V73">
        <f t="shared" si="66"/>
        <v>0</v>
      </c>
      <c r="W73">
        <f t="shared" si="67"/>
        <v>0</v>
      </c>
      <c r="X73">
        <f t="shared" si="68"/>
        <v>0</v>
      </c>
      <c r="Y73">
        <f t="shared" si="69"/>
        <v>0</v>
      </c>
      <c r="AA73">
        <v>309315610</v>
      </c>
      <c r="AB73">
        <f t="shared" ref="AB73:AB83" si="88">ROUND((AC73+AD73+AF73),6)</f>
        <v>413.58</v>
      </c>
      <c r="AC73">
        <f t="shared" ref="AC73:AC83" si="89">ROUND((ES73),6)</f>
        <v>413.58</v>
      </c>
      <c r="AD73">
        <f>ROUND((((ET73)-(EU73))+AE73),6)</f>
        <v>0</v>
      </c>
      <c r="AE73">
        <f t="shared" ref="AE73:AF76" si="90">ROUND((EU73),6)</f>
        <v>0</v>
      </c>
      <c r="AF73">
        <f t="shared" si="90"/>
        <v>0</v>
      </c>
      <c r="AG73">
        <f t="shared" si="70"/>
        <v>0</v>
      </c>
      <c r="AH73">
        <f t="shared" ref="AH73:AI76" si="91">(EW73)</f>
        <v>0</v>
      </c>
      <c r="AI73">
        <f t="shared" si="91"/>
        <v>0</v>
      </c>
      <c r="AJ73">
        <f t="shared" si="71"/>
        <v>0</v>
      </c>
      <c r="AK73">
        <v>413.58</v>
      </c>
      <c r="AL73">
        <v>413.58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5.4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1</v>
      </c>
      <c r="BJ73" t="s">
        <v>138</v>
      </c>
      <c r="BM73">
        <v>1114</v>
      </c>
      <c r="BN73">
        <v>0</v>
      </c>
      <c r="BO73" t="s">
        <v>136</v>
      </c>
      <c r="BP73">
        <v>1</v>
      </c>
      <c r="BQ73">
        <v>160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0</v>
      </c>
      <c r="CA73">
        <v>0</v>
      </c>
      <c r="CE73">
        <v>30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72"/>
        <v>-4120.5200000000004</v>
      </c>
      <c r="CQ73">
        <f t="shared" si="73"/>
        <v>2233.33</v>
      </c>
      <c r="CR73">
        <f>(ROUND((ROUND(((ET73)*AV73*1),2)*BB73),2)+ROUND((ROUND(((AE73-(EU73))*AV73*1),2)*BS73),2))</f>
        <v>0</v>
      </c>
      <c r="CS73">
        <f t="shared" si="74"/>
        <v>0</v>
      </c>
      <c r="CT73">
        <f t="shared" si="75"/>
        <v>0</v>
      </c>
      <c r="CU73">
        <f t="shared" si="76"/>
        <v>0</v>
      </c>
      <c r="CV73">
        <f t="shared" si="77"/>
        <v>0</v>
      </c>
      <c r="CW73">
        <f t="shared" si="78"/>
        <v>0</v>
      </c>
      <c r="CX73">
        <f t="shared" si="79"/>
        <v>0</v>
      </c>
      <c r="CY73">
        <f t="shared" si="80"/>
        <v>0</v>
      </c>
      <c r="CZ73">
        <f t="shared" si="81"/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1007</v>
      </c>
      <c r="DV73" t="s">
        <v>33</v>
      </c>
      <c r="DW73" t="s">
        <v>33</v>
      </c>
      <c r="DX73">
        <v>1</v>
      </c>
      <c r="EE73">
        <v>298189190</v>
      </c>
      <c r="EF73">
        <v>160</v>
      </c>
      <c r="EG73" t="s">
        <v>23</v>
      </c>
      <c r="EH73">
        <v>0</v>
      </c>
      <c r="EI73" t="s">
        <v>3</v>
      </c>
      <c r="EJ73">
        <v>1</v>
      </c>
      <c r="EK73">
        <v>1114</v>
      </c>
      <c r="EL73" t="s">
        <v>24</v>
      </c>
      <c r="EM73" t="s">
        <v>25</v>
      </c>
      <c r="EO73" t="s">
        <v>3</v>
      </c>
      <c r="EQ73">
        <v>512</v>
      </c>
      <c r="ER73">
        <v>413.58</v>
      </c>
      <c r="ES73">
        <v>413.58</v>
      </c>
      <c r="ET73">
        <v>0</v>
      </c>
      <c r="EU73">
        <v>0</v>
      </c>
      <c r="EV73">
        <v>0</v>
      </c>
      <c r="EW73">
        <v>0</v>
      </c>
      <c r="EX73">
        <v>0</v>
      </c>
      <c r="FQ73">
        <v>0</v>
      </c>
      <c r="FR73">
        <f t="shared" si="82"/>
        <v>0</v>
      </c>
      <c r="FS73">
        <v>0</v>
      </c>
      <c r="FX73">
        <v>0</v>
      </c>
      <c r="FY73">
        <v>0</v>
      </c>
      <c r="GA73" t="s">
        <v>3</v>
      </c>
      <c r="GD73">
        <v>0</v>
      </c>
      <c r="GF73">
        <v>870527440</v>
      </c>
      <c r="GG73">
        <v>2</v>
      </c>
      <c r="GH73">
        <v>1</v>
      </c>
      <c r="GI73">
        <v>2</v>
      </c>
      <c r="GJ73">
        <v>0</v>
      </c>
      <c r="GK73">
        <f>ROUND(R73*(R12)/100,2)</f>
        <v>0</v>
      </c>
      <c r="GL73">
        <f t="shared" si="83"/>
        <v>0</v>
      </c>
      <c r="GM73">
        <f t="shared" ref="GM73:GM79" si="92">ROUND(O73+X73+Y73+GK73,2)+GX73</f>
        <v>-4120.5200000000004</v>
      </c>
      <c r="GN73">
        <f t="shared" ref="GN73:GN79" si="93">IF(OR(BI73=0,BI73=1),ROUND(O73+X73+Y73+GK73,2),0)</f>
        <v>-4120.5200000000004</v>
      </c>
      <c r="GO73">
        <f t="shared" ref="GO73:GO79" si="94">IF(BI73=2,ROUND(O73+X73+Y73+GK73,2),0)</f>
        <v>0</v>
      </c>
      <c r="GP73">
        <f t="shared" ref="GP73:GP79" si="95">IF(BI73=4,ROUND(O73+X73+Y73+GK73,2)+GX73,0)</f>
        <v>0</v>
      </c>
      <c r="GR73">
        <v>0</v>
      </c>
      <c r="GS73">
        <v>3</v>
      </c>
      <c r="GT73">
        <v>0</v>
      </c>
      <c r="GU73" t="s">
        <v>3</v>
      </c>
      <c r="GV73">
        <f t="shared" si="84"/>
        <v>0</v>
      </c>
      <c r="GW73">
        <v>1</v>
      </c>
      <c r="GX73">
        <f t="shared" si="85"/>
        <v>0</v>
      </c>
      <c r="HA73">
        <v>0</v>
      </c>
      <c r="HB73">
        <v>0</v>
      </c>
      <c r="HC73">
        <f t="shared" si="86"/>
        <v>0</v>
      </c>
      <c r="IK73">
        <v>0</v>
      </c>
    </row>
    <row r="74" spans="1:245" x14ac:dyDescent="0.2">
      <c r="A74">
        <v>18</v>
      </c>
      <c r="B74">
        <v>1</v>
      </c>
      <c r="C74">
        <v>15</v>
      </c>
      <c r="E74" t="s">
        <v>139</v>
      </c>
      <c r="F74" t="s">
        <v>140</v>
      </c>
      <c r="G74" t="s">
        <v>141</v>
      </c>
      <c r="H74" t="s">
        <v>142</v>
      </c>
      <c r="I74">
        <f>I72*J74</f>
        <v>41</v>
      </c>
      <c r="J74">
        <v>2</v>
      </c>
      <c r="O74">
        <f t="shared" si="61"/>
        <v>58830.89</v>
      </c>
      <c r="P74">
        <f t="shared" si="62"/>
        <v>58830.89</v>
      </c>
      <c r="Q74">
        <f>(ROUND((ROUND(((ET74)*AV74*I74),2)*BB74),2)+ROUND((ROUND(((AE74-(EU74))*AV74*I74),2)*BS74),2))</f>
        <v>0</v>
      </c>
      <c r="R74">
        <f t="shared" si="63"/>
        <v>0</v>
      </c>
      <c r="S74">
        <f t="shared" si="87"/>
        <v>0</v>
      </c>
      <c r="T74">
        <f t="shared" si="64"/>
        <v>0</v>
      </c>
      <c r="U74">
        <f t="shared" si="65"/>
        <v>0</v>
      </c>
      <c r="V74">
        <f t="shared" si="66"/>
        <v>0</v>
      </c>
      <c r="W74">
        <f t="shared" si="67"/>
        <v>0</v>
      </c>
      <c r="X74">
        <f t="shared" si="68"/>
        <v>0</v>
      </c>
      <c r="Y74">
        <f t="shared" si="69"/>
        <v>0</v>
      </c>
      <c r="AA74">
        <v>309315610</v>
      </c>
      <c r="AB74">
        <f t="shared" si="88"/>
        <v>481.51</v>
      </c>
      <c r="AC74">
        <f t="shared" si="89"/>
        <v>481.51</v>
      </c>
      <c r="AD74">
        <f>ROUND((((ET74)-(EU74))+AE74),6)</f>
        <v>0</v>
      </c>
      <c r="AE74">
        <f t="shared" si="90"/>
        <v>0</v>
      </c>
      <c r="AF74">
        <f t="shared" si="90"/>
        <v>0</v>
      </c>
      <c r="AG74">
        <f t="shared" si="70"/>
        <v>0</v>
      </c>
      <c r="AH74">
        <f t="shared" si="91"/>
        <v>0</v>
      </c>
      <c r="AI74">
        <f t="shared" si="91"/>
        <v>0</v>
      </c>
      <c r="AJ74">
        <f t="shared" si="71"/>
        <v>0</v>
      </c>
      <c r="AK74">
        <v>481.51</v>
      </c>
      <c r="AL74">
        <v>481.51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2.98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1</v>
      </c>
      <c r="BJ74" t="s">
        <v>143</v>
      </c>
      <c r="BM74">
        <v>1114</v>
      </c>
      <c r="BN74">
        <v>0</v>
      </c>
      <c r="BO74" t="s">
        <v>140</v>
      </c>
      <c r="BP74">
        <v>1</v>
      </c>
      <c r="BQ74">
        <v>160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0</v>
      </c>
      <c r="CA74">
        <v>0</v>
      </c>
      <c r="CE74">
        <v>30</v>
      </c>
      <c r="CF74">
        <v>0</v>
      </c>
      <c r="CG74">
        <v>0</v>
      </c>
      <c r="CM74">
        <v>0</v>
      </c>
      <c r="CN74" t="s">
        <v>19</v>
      </c>
      <c r="CO74">
        <v>0</v>
      </c>
      <c r="CP74">
        <f t="shared" si="72"/>
        <v>58830.89</v>
      </c>
      <c r="CQ74">
        <f t="shared" si="73"/>
        <v>1434.9</v>
      </c>
      <c r="CR74">
        <f>(ROUND((ROUND(((ET74)*AV74*1),2)*BB74),2)+ROUND((ROUND(((AE74-(EU74))*AV74*1),2)*BS74),2))</f>
        <v>0</v>
      </c>
      <c r="CS74">
        <f t="shared" si="74"/>
        <v>0</v>
      </c>
      <c r="CT74">
        <f t="shared" si="75"/>
        <v>0</v>
      </c>
      <c r="CU74">
        <f t="shared" si="76"/>
        <v>0</v>
      </c>
      <c r="CV74">
        <f t="shared" si="77"/>
        <v>0</v>
      </c>
      <c r="CW74">
        <f t="shared" si="78"/>
        <v>0</v>
      </c>
      <c r="CX74">
        <f t="shared" si="79"/>
        <v>0</v>
      </c>
      <c r="CY74">
        <f t="shared" si="80"/>
        <v>0</v>
      </c>
      <c r="CZ74">
        <f t="shared" si="81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1003</v>
      </c>
      <c r="DV74" t="s">
        <v>142</v>
      </c>
      <c r="DW74" t="s">
        <v>142</v>
      </c>
      <c r="DX74">
        <v>1</v>
      </c>
      <c r="EE74">
        <v>298189190</v>
      </c>
      <c r="EF74">
        <v>160</v>
      </c>
      <c r="EG74" t="s">
        <v>23</v>
      </c>
      <c r="EH74">
        <v>0</v>
      </c>
      <c r="EI74" t="s">
        <v>3</v>
      </c>
      <c r="EJ74">
        <v>1</v>
      </c>
      <c r="EK74">
        <v>1114</v>
      </c>
      <c r="EL74" t="s">
        <v>24</v>
      </c>
      <c r="EM74" t="s">
        <v>25</v>
      </c>
      <c r="EO74" t="s">
        <v>3</v>
      </c>
      <c r="EQ74">
        <v>512</v>
      </c>
      <c r="ER74">
        <v>481.51</v>
      </c>
      <c r="ES74">
        <v>481.51</v>
      </c>
      <c r="ET74">
        <v>0</v>
      </c>
      <c r="EU74">
        <v>0</v>
      </c>
      <c r="EV74">
        <v>0</v>
      </c>
      <c r="EW74">
        <v>0</v>
      </c>
      <c r="EX74">
        <v>0</v>
      </c>
      <c r="FQ74">
        <v>0</v>
      </c>
      <c r="FR74">
        <f t="shared" si="82"/>
        <v>0</v>
      </c>
      <c r="FS74">
        <v>0</v>
      </c>
      <c r="FX74">
        <v>0</v>
      </c>
      <c r="FY74">
        <v>0</v>
      </c>
      <c r="GA74" t="s">
        <v>3</v>
      </c>
      <c r="GD74">
        <v>0</v>
      </c>
      <c r="GF74">
        <v>-395848469</v>
      </c>
      <c r="GG74">
        <v>2</v>
      </c>
      <c r="GH74">
        <v>1</v>
      </c>
      <c r="GI74">
        <v>2</v>
      </c>
      <c r="GJ74">
        <v>0</v>
      </c>
      <c r="GK74">
        <f>ROUND(R74*(R12)/100,2)</f>
        <v>0</v>
      </c>
      <c r="GL74">
        <f t="shared" si="83"/>
        <v>0</v>
      </c>
      <c r="GM74">
        <f t="shared" si="92"/>
        <v>58830.89</v>
      </c>
      <c r="GN74">
        <f t="shared" si="93"/>
        <v>58830.89</v>
      </c>
      <c r="GO74">
        <f t="shared" si="94"/>
        <v>0</v>
      </c>
      <c r="GP74">
        <f t="shared" si="95"/>
        <v>0</v>
      </c>
      <c r="GR74">
        <v>0</v>
      </c>
      <c r="GS74">
        <v>3</v>
      </c>
      <c r="GT74">
        <v>0</v>
      </c>
      <c r="GU74" t="s">
        <v>3</v>
      </c>
      <c r="GV74">
        <f t="shared" si="84"/>
        <v>0</v>
      </c>
      <c r="GW74">
        <v>1</v>
      </c>
      <c r="GX74">
        <f t="shared" si="85"/>
        <v>0</v>
      </c>
      <c r="HA74">
        <v>0</v>
      </c>
      <c r="HB74">
        <v>0</v>
      </c>
      <c r="HC74">
        <f t="shared" si="86"/>
        <v>0</v>
      </c>
      <c r="IK74">
        <v>0</v>
      </c>
    </row>
    <row r="75" spans="1:245" x14ac:dyDescent="0.2">
      <c r="A75">
        <v>18</v>
      </c>
      <c r="B75">
        <v>1</v>
      </c>
      <c r="C75">
        <v>16</v>
      </c>
      <c r="E75" t="s">
        <v>144</v>
      </c>
      <c r="F75" t="s">
        <v>27</v>
      </c>
      <c r="G75" t="s">
        <v>28</v>
      </c>
      <c r="H75" t="s">
        <v>29</v>
      </c>
      <c r="I75">
        <f>I72*J75</f>
        <v>80.963205000000002</v>
      </c>
      <c r="J75">
        <v>3.9494246341463417</v>
      </c>
      <c r="O75">
        <f t="shared" si="61"/>
        <v>0</v>
      </c>
      <c r="P75">
        <f t="shared" si="62"/>
        <v>0</v>
      </c>
      <c r="Q75">
        <f>(ROUND((ROUND(((ET75)*AV75*I75),2)*BB75),2)+ROUND((ROUND(((AE75-(EU75))*AV75*I75),2)*BS75),2))</f>
        <v>0</v>
      </c>
      <c r="R75">
        <f t="shared" si="63"/>
        <v>0</v>
      </c>
      <c r="S75">
        <f t="shared" si="87"/>
        <v>0</v>
      </c>
      <c r="T75">
        <f t="shared" si="64"/>
        <v>0</v>
      </c>
      <c r="U75">
        <f t="shared" si="65"/>
        <v>0</v>
      </c>
      <c r="V75">
        <f t="shared" si="66"/>
        <v>0</v>
      </c>
      <c r="W75">
        <f t="shared" si="67"/>
        <v>0</v>
      </c>
      <c r="X75">
        <f t="shared" si="68"/>
        <v>0</v>
      </c>
      <c r="Y75">
        <f t="shared" si="69"/>
        <v>0</v>
      </c>
      <c r="AA75">
        <v>309315610</v>
      </c>
      <c r="AB75">
        <f t="shared" si="88"/>
        <v>0</v>
      </c>
      <c r="AC75">
        <f t="shared" si="89"/>
        <v>0</v>
      </c>
      <c r="AD75">
        <f>ROUND((((ET75)-(EU75))+AE75),6)</f>
        <v>0</v>
      </c>
      <c r="AE75">
        <f t="shared" si="90"/>
        <v>0</v>
      </c>
      <c r="AF75">
        <f t="shared" si="90"/>
        <v>0</v>
      </c>
      <c r="AG75">
        <f t="shared" si="70"/>
        <v>0</v>
      </c>
      <c r="AH75">
        <f t="shared" si="91"/>
        <v>0</v>
      </c>
      <c r="AI75">
        <f t="shared" si="91"/>
        <v>0</v>
      </c>
      <c r="AJ75">
        <f t="shared" si="71"/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1</v>
      </c>
      <c r="BJ75" t="s">
        <v>3</v>
      </c>
      <c r="BM75">
        <v>1114</v>
      </c>
      <c r="BN75">
        <v>0</v>
      </c>
      <c r="BO75" t="s">
        <v>3</v>
      </c>
      <c r="BP75">
        <v>0</v>
      </c>
      <c r="BQ75">
        <v>160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0</v>
      </c>
      <c r="CA75">
        <v>0</v>
      </c>
      <c r="CE75">
        <v>30</v>
      </c>
      <c r="CF75">
        <v>0</v>
      </c>
      <c r="CG75">
        <v>0</v>
      </c>
      <c r="CM75">
        <v>0</v>
      </c>
      <c r="CN75" t="s">
        <v>19</v>
      </c>
      <c r="CO75">
        <v>0</v>
      </c>
      <c r="CP75">
        <f t="shared" si="72"/>
        <v>0</v>
      </c>
      <c r="CQ75">
        <f t="shared" si="73"/>
        <v>0</v>
      </c>
      <c r="CR75">
        <f>(ROUND((ROUND(((ET75)*AV75*1),2)*BB75),2)+ROUND((ROUND(((AE75-(EU75))*AV75*1),2)*BS75),2))</f>
        <v>0</v>
      </c>
      <c r="CS75">
        <f t="shared" si="74"/>
        <v>0</v>
      </c>
      <c r="CT75">
        <f t="shared" si="75"/>
        <v>0</v>
      </c>
      <c r="CU75">
        <f t="shared" si="76"/>
        <v>0</v>
      </c>
      <c r="CV75">
        <f t="shared" si="77"/>
        <v>0</v>
      </c>
      <c r="CW75">
        <f t="shared" si="78"/>
        <v>0</v>
      </c>
      <c r="CX75">
        <f t="shared" si="79"/>
        <v>0</v>
      </c>
      <c r="CY75">
        <f t="shared" si="80"/>
        <v>0</v>
      </c>
      <c r="CZ75">
        <f t="shared" si="81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1009</v>
      </c>
      <c r="DV75" t="s">
        <v>29</v>
      </c>
      <c r="DW75" t="s">
        <v>29</v>
      </c>
      <c r="DX75">
        <v>1000</v>
      </c>
      <c r="EE75">
        <v>298189190</v>
      </c>
      <c r="EF75">
        <v>160</v>
      </c>
      <c r="EG75" t="s">
        <v>23</v>
      </c>
      <c r="EH75">
        <v>0</v>
      </c>
      <c r="EI75" t="s">
        <v>3</v>
      </c>
      <c r="EJ75">
        <v>1</v>
      </c>
      <c r="EK75">
        <v>1114</v>
      </c>
      <c r="EL75" t="s">
        <v>24</v>
      </c>
      <c r="EM75" t="s">
        <v>25</v>
      </c>
      <c r="EO75" t="s">
        <v>3</v>
      </c>
      <c r="EQ75">
        <v>512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82"/>
        <v>0</v>
      </c>
      <c r="FS75">
        <v>0</v>
      </c>
      <c r="FX75">
        <v>0</v>
      </c>
      <c r="FY75">
        <v>0</v>
      </c>
      <c r="GA75" t="s">
        <v>3</v>
      </c>
      <c r="GD75">
        <v>0</v>
      </c>
      <c r="GF75">
        <v>1489638031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 t="shared" si="83"/>
        <v>0</v>
      </c>
      <c r="GM75">
        <f t="shared" si="92"/>
        <v>0</v>
      </c>
      <c r="GN75">
        <f t="shared" si="93"/>
        <v>0</v>
      </c>
      <c r="GO75">
        <f t="shared" si="94"/>
        <v>0</v>
      </c>
      <c r="GP75">
        <f t="shared" si="95"/>
        <v>0</v>
      </c>
      <c r="GR75">
        <v>0</v>
      </c>
      <c r="GS75">
        <v>0</v>
      </c>
      <c r="GT75">
        <v>0</v>
      </c>
      <c r="GU75" t="s">
        <v>3</v>
      </c>
      <c r="GV75">
        <f t="shared" si="84"/>
        <v>0</v>
      </c>
      <c r="GW75">
        <v>1</v>
      </c>
      <c r="GX75">
        <f t="shared" si="85"/>
        <v>0</v>
      </c>
      <c r="HA75">
        <v>0</v>
      </c>
      <c r="HB75">
        <v>0</v>
      </c>
      <c r="HC75">
        <f t="shared" si="86"/>
        <v>0</v>
      </c>
      <c r="IK75">
        <v>0</v>
      </c>
    </row>
    <row r="76" spans="1:245" x14ac:dyDescent="0.2">
      <c r="A76">
        <v>18</v>
      </c>
      <c r="B76">
        <v>1</v>
      </c>
      <c r="C76">
        <v>17</v>
      </c>
      <c r="E76" t="s">
        <v>145</v>
      </c>
      <c r="F76" t="s">
        <v>31</v>
      </c>
      <c r="G76" t="s">
        <v>32</v>
      </c>
      <c r="H76" t="s">
        <v>33</v>
      </c>
      <c r="I76">
        <f>I72*J76</f>
        <v>220.23336999999998</v>
      </c>
      <c r="J76">
        <v>10.743091219512195</v>
      </c>
      <c r="O76">
        <f t="shared" si="61"/>
        <v>0</v>
      </c>
      <c r="P76">
        <f t="shared" si="62"/>
        <v>0</v>
      </c>
      <c r="Q76">
        <f>(ROUND((ROUND(((ET76)*AV76*I76),2)*BB76),2)+ROUND((ROUND(((AE76-(EU76))*AV76*I76),2)*BS76),2))</f>
        <v>0</v>
      </c>
      <c r="R76">
        <f t="shared" si="63"/>
        <v>0</v>
      </c>
      <c r="S76">
        <f t="shared" si="87"/>
        <v>0</v>
      </c>
      <c r="T76">
        <f t="shared" si="64"/>
        <v>0</v>
      </c>
      <c r="U76">
        <f t="shared" si="65"/>
        <v>0</v>
      </c>
      <c r="V76">
        <f t="shared" si="66"/>
        <v>0</v>
      </c>
      <c r="W76">
        <f t="shared" si="67"/>
        <v>0</v>
      </c>
      <c r="X76">
        <f t="shared" si="68"/>
        <v>0</v>
      </c>
      <c r="Y76">
        <f t="shared" si="69"/>
        <v>0</v>
      </c>
      <c r="AA76">
        <v>309315610</v>
      </c>
      <c r="AB76">
        <f t="shared" si="88"/>
        <v>0</v>
      </c>
      <c r="AC76">
        <f t="shared" si="89"/>
        <v>0</v>
      </c>
      <c r="AD76">
        <f>ROUND((((ET76)-(EU76))+AE76),6)</f>
        <v>0</v>
      </c>
      <c r="AE76">
        <f t="shared" si="90"/>
        <v>0</v>
      </c>
      <c r="AF76">
        <f t="shared" si="90"/>
        <v>0</v>
      </c>
      <c r="AG76">
        <f t="shared" si="70"/>
        <v>0</v>
      </c>
      <c r="AH76">
        <f t="shared" si="91"/>
        <v>0</v>
      </c>
      <c r="AI76">
        <f t="shared" si="91"/>
        <v>0</v>
      </c>
      <c r="AJ76">
        <f t="shared" si="71"/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1</v>
      </c>
      <c r="BJ76" t="s">
        <v>3</v>
      </c>
      <c r="BM76">
        <v>1114</v>
      </c>
      <c r="BN76">
        <v>0</v>
      </c>
      <c r="BO76" t="s">
        <v>3</v>
      </c>
      <c r="BP76">
        <v>0</v>
      </c>
      <c r="BQ76">
        <v>160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0</v>
      </c>
      <c r="CA76">
        <v>0</v>
      </c>
      <c r="CE76">
        <v>30</v>
      </c>
      <c r="CF76">
        <v>0</v>
      </c>
      <c r="CG76">
        <v>0</v>
      </c>
      <c r="CM76">
        <v>0</v>
      </c>
      <c r="CN76" t="s">
        <v>19</v>
      </c>
      <c r="CO76">
        <v>0</v>
      </c>
      <c r="CP76">
        <f t="shared" si="72"/>
        <v>0</v>
      </c>
      <c r="CQ76">
        <f t="shared" si="73"/>
        <v>0</v>
      </c>
      <c r="CR76">
        <f>(ROUND((ROUND(((ET76)*AV76*1),2)*BB76),2)+ROUND((ROUND(((AE76-(EU76))*AV76*1),2)*BS76),2))</f>
        <v>0</v>
      </c>
      <c r="CS76">
        <f t="shared" si="74"/>
        <v>0</v>
      </c>
      <c r="CT76">
        <f t="shared" si="75"/>
        <v>0</v>
      </c>
      <c r="CU76">
        <f t="shared" si="76"/>
        <v>0</v>
      </c>
      <c r="CV76">
        <f t="shared" si="77"/>
        <v>0</v>
      </c>
      <c r="CW76">
        <f t="shared" si="78"/>
        <v>0</v>
      </c>
      <c r="CX76">
        <f t="shared" si="79"/>
        <v>0</v>
      </c>
      <c r="CY76">
        <f t="shared" si="80"/>
        <v>0</v>
      </c>
      <c r="CZ76">
        <f t="shared" si="81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1007</v>
      </c>
      <c r="DV76" t="s">
        <v>33</v>
      </c>
      <c r="DW76" t="s">
        <v>33</v>
      </c>
      <c r="DX76">
        <v>1</v>
      </c>
      <c r="EE76">
        <v>298189190</v>
      </c>
      <c r="EF76">
        <v>160</v>
      </c>
      <c r="EG76" t="s">
        <v>23</v>
      </c>
      <c r="EH76">
        <v>0</v>
      </c>
      <c r="EI76" t="s">
        <v>3</v>
      </c>
      <c r="EJ76">
        <v>1</v>
      </c>
      <c r="EK76">
        <v>1114</v>
      </c>
      <c r="EL76" t="s">
        <v>24</v>
      </c>
      <c r="EM76" t="s">
        <v>25</v>
      </c>
      <c r="EO76" t="s">
        <v>3</v>
      </c>
      <c r="EQ76">
        <v>512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FQ76">
        <v>0</v>
      </c>
      <c r="FR76">
        <f t="shared" si="82"/>
        <v>0</v>
      </c>
      <c r="FS76">
        <v>0</v>
      </c>
      <c r="FX76">
        <v>0</v>
      </c>
      <c r="FY76">
        <v>0</v>
      </c>
      <c r="GA76" t="s">
        <v>3</v>
      </c>
      <c r="GD76">
        <v>0</v>
      </c>
      <c r="GF76">
        <v>179728826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 t="shared" si="83"/>
        <v>0</v>
      </c>
      <c r="GM76">
        <f t="shared" si="92"/>
        <v>0</v>
      </c>
      <c r="GN76">
        <f t="shared" si="93"/>
        <v>0</v>
      </c>
      <c r="GO76">
        <f t="shared" si="94"/>
        <v>0</v>
      </c>
      <c r="GP76">
        <f t="shared" si="95"/>
        <v>0</v>
      </c>
      <c r="GR76">
        <v>0</v>
      </c>
      <c r="GS76">
        <v>0</v>
      </c>
      <c r="GT76">
        <v>0</v>
      </c>
      <c r="GU76" t="s">
        <v>3</v>
      </c>
      <c r="GV76">
        <f t="shared" si="84"/>
        <v>0</v>
      </c>
      <c r="GW76">
        <v>1</v>
      </c>
      <c r="GX76">
        <f t="shared" si="85"/>
        <v>0</v>
      </c>
      <c r="HA76">
        <v>0</v>
      </c>
      <c r="HB76">
        <v>0</v>
      </c>
      <c r="HC76">
        <f t="shared" si="86"/>
        <v>0</v>
      </c>
      <c r="IK76">
        <v>0</v>
      </c>
    </row>
    <row r="77" spans="1:245" x14ac:dyDescent="0.2">
      <c r="A77">
        <v>17</v>
      </c>
      <c r="B77">
        <v>1</v>
      </c>
      <c r="C77">
        <f>ROW(SmtRes!A28)</f>
        <v>28</v>
      </c>
      <c r="D77">
        <f>ROW(EtalonRes!A26)</f>
        <v>26</v>
      </c>
      <c r="E77" t="s">
        <v>146</v>
      </c>
      <c r="F77" t="s">
        <v>147</v>
      </c>
      <c r="G77" t="s">
        <v>148</v>
      </c>
      <c r="H77" t="s">
        <v>149</v>
      </c>
      <c r="I77">
        <v>6</v>
      </c>
      <c r="J77">
        <v>0</v>
      </c>
      <c r="O77">
        <f t="shared" si="61"/>
        <v>40467.21</v>
      </c>
      <c r="P77">
        <f t="shared" si="62"/>
        <v>317.86</v>
      </c>
      <c r="Q77">
        <f>(ROUND((ROUND((((ET77*1.15))*AV77*I77),2)*BB77),2)+ROUND((ROUND(((AE77-((EU77*1.15)))*AV77*I77),2)*BS77),2))</f>
        <v>4217.88</v>
      </c>
      <c r="R77">
        <f t="shared" si="63"/>
        <v>1479.96</v>
      </c>
      <c r="S77">
        <f t="shared" si="87"/>
        <v>35931.47</v>
      </c>
      <c r="T77">
        <f t="shared" si="64"/>
        <v>0</v>
      </c>
      <c r="U77">
        <f t="shared" si="65"/>
        <v>119.26926</v>
      </c>
      <c r="V77">
        <f t="shared" si="66"/>
        <v>0</v>
      </c>
      <c r="W77">
        <f t="shared" si="67"/>
        <v>0</v>
      </c>
      <c r="X77">
        <f t="shared" si="68"/>
        <v>38087.360000000001</v>
      </c>
      <c r="Y77">
        <f t="shared" si="69"/>
        <v>19043.68</v>
      </c>
      <c r="AA77">
        <v>309315610</v>
      </c>
      <c r="AB77">
        <f t="shared" si="88"/>
        <v>373.38799999999998</v>
      </c>
      <c r="AC77">
        <f t="shared" si="89"/>
        <v>24.34</v>
      </c>
      <c r="AD77">
        <f>ROUND(((((ET77*1.15))-((EU77*1.15)))+AE77),6)</f>
        <v>87.147000000000006</v>
      </c>
      <c r="AE77">
        <f>ROUND(((EU77*1.15)),6)</f>
        <v>10.787000000000001</v>
      </c>
      <c r="AF77">
        <f>ROUND(((EV77*1.15)),6)</f>
        <v>261.90100000000001</v>
      </c>
      <c r="AG77">
        <f t="shared" si="70"/>
        <v>0</v>
      </c>
      <c r="AH77">
        <f>((EW77*1.15))</f>
        <v>18.63</v>
      </c>
      <c r="AI77">
        <f>((EX77*1.15))</f>
        <v>0</v>
      </c>
      <c r="AJ77">
        <f t="shared" si="71"/>
        <v>0</v>
      </c>
      <c r="AK77">
        <v>327.86</v>
      </c>
      <c r="AL77">
        <v>24.34</v>
      </c>
      <c r="AM77">
        <v>75.78</v>
      </c>
      <c r="AN77">
        <v>9.3800000000000008</v>
      </c>
      <c r="AO77">
        <v>227.74</v>
      </c>
      <c r="AP77">
        <v>0</v>
      </c>
      <c r="AQ77">
        <v>16.2</v>
      </c>
      <c r="AR77">
        <v>0</v>
      </c>
      <c r="AS77">
        <v>0</v>
      </c>
      <c r="AT77">
        <v>106</v>
      </c>
      <c r="AU77">
        <v>53</v>
      </c>
      <c r="AV77">
        <v>1.0669999999999999</v>
      </c>
      <c r="AW77">
        <v>1.0029999999999999</v>
      </c>
      <c r="AZ77">
        <v>1</v>
      </c>
      <c r="BA77">
        <v>21.43</v>
      </c>
      <c r="BB77">
        <v>7.56</v>
      </c>
      <c r="BC77">
        <v>2.17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1</v>
      </c>
      <c r="BJ77" t="s">
        <v>150</v>
      </c>
      <c r="BM77">
        <v>142</v>
      </c>
      <c r="BN77">
        <v>0</v>
      </c>
      <c r="BO77" t="s">
        <v>147</v>
      </c>
      <c r="BP77">
        <v>1</v>
      </c>
      <c r="BQ77">
        <v>30</v>
      </c>
      <c r="BR77">
        <v>0</v>
      </c>
      <c r="BS77">
        <v>21.43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106</v>
      </c>
      <c r="CA77">
        <v>53</v>
      </c>
      <c r="CE77">
        <v>30</v>
      </c>
      <c r="CF77">
        <v>0</v>
      </c>
      <c r="CG77">
        <v>0</v>
      </c>
      <c r="CM77">
        <v>0</v>
      </c>
      <c r="CN77" t="s">
        <v>151</v>
      </c>
      <c r="CO77">
        <v>0</v>
      </c>
      <c r="CP77">
        <f t="shared" si="72"/>
        <v>40467.21</v>
      </c>
      <c r="CQ77">
        <f t="shared" si="73"/>
        <v>52.97</v>
      </c>
      <c r="CR77">
        <f>(ROUND((ROUND((((ET77*1.15))*AV77*1),2)*BB77),2)+ROUND((ROUND(((AE77-((EU77*1.15)))*AV77*1),2)*BS77),2))</f>
        <v>703</v>
      </c>
      <c r="CS77">
        <f t="shared" si="74"/>
        <v>246.66</v>
      </c>
      <c r="CT77">
        <f t="shared" si="75"/>
        <v>5988.61</v>
      </c>
      <c r="CU77">
        <f t="shared" si="76"/>
        <v>0</v>
      </c>
      <c r="CV77">
        <f t="shared" si="77"/>
        <v>19.878209999999999</v>
      </c>
      <c r="CW77">
        <f t="shared" si="78"/>
        <v>0</v>
      </c>
      <c r="CX77">
        <f t="shared" si="79"/>
        <v>0</v>
      </c>
      <c r="CY77">
        <f t="shared" si="80"/>
        <v>38087.358200000002</v>
      </c>
      <c r="CZ77">
        <f t="shared" si="81"/>
        <v>19043.679100000001</v>
      </c>
      <c r="DC77" t="s">
        <v>3</v>
      </c>
      <c r="DD77" t="s">
        <v>3</v>
      </c>
      <c r="DE77" t="s">
        <v>39</v>
      </c>
      <c r="DF77" t="s">
        <v>39</v>
      </c>
      <c r="DG77" t="s">
        <v>39</v>
      </c>
      <c r="DH77" t="s">
        <v>3</v>
      </c>
      <c r="DI77" t="s">
        <v>39</v>
      </c>
      <c r="DJ77" t="s">
        <v>39</v>
      </c>
      <c r="DK77" t="s">
        <v>3</v>
      </c>
      <c r="DL77" t="s">
        <v>3</v>
      </c>
      <c r="DM77" t="s">
        <v>3</v>
      </c>
      <c r="DN77">
        <v>133</v>
      </c>
      <c r="DO77">
        <v>113</v>
      </c>
      <c r="DP77">
        <v>1.0669999999999999</v>
      </c>
      <c r="DQ77">
        <v>1.0029999999999999</v>
      </c>
      <c r="DU77">
        <v>1013</v>
      </c>
      <c r="DV77" t="s">
        <v>149</v>
      </c>
      <c r="DW77" t="s">
        <v>149</v>
      </c>
      <c r="DX77">
        <v>1</v>
      </c>
      <c r="EE77">
        <v>298188218</v>
      </c>
      <c r="EF77">
        <v>30</v>
      </c>
      <c r="EG77" t="s">
        <v>46</v>
      </c>
      <c r="EH77">
        <v>0</v>
      </c>
      <c r="EI77" t="s">
        <v>3</v>
      </c>
      <c r="EJ77">
        <v>1</v>
      </c>
      <c r="EK77">
        <v>142</v>
      </c>
      <c r="EL77" t="s">
        <v>152</v>
      </c>
      <c r="EM77" t="s">
        <v>153</v>
      </c>
      <c r="EO77" t="s">
        <v>3</v>
      </c>
      <c r="EQ77">
        <v>512</v>
      </c>
      <c r="ER77">
        <v>327.86</v>
      </c>
      <c r="ES77">
        <v>24.34</v>
      </c>
      <c r="ET77">
        <v>75.78</v>
      </c>
      <c r="EU77">
        <v>9.3800000000000008</v>
      </c>
      <c r="EV77">
        <v>227.74</v>
      </c>
      <c r="EW77">
        <v>16.2</v>
      </c>
      <c r="EX77">
        <v>0</v>
      </c>
      <c r="EY77">
        <v>0</v>
      </c>
      <c r="FQ77">
        <v>0</v>
      </c>
      <c r="FR77">
        <f t="shared" si="82"/>
        <v>0</v>
      </c>
      <c r="FS77">
        <v>0</v>
      </c>
      <c r="FX77">
        <v>133</v>
      </c>
      <c r="FY77">
        <v>113</v>
      </c>
      <c r="GA77" t="s">
        <v>3</v>
      </c>
      <c r="GD77">
        <v>0</v>
      </c>
      <c r="GF77">
        <v>130406922</v>
      </c>
      <c r="GG77">
        <v>2</v>
      </c>
      <c r="GH77">
        <v>1</v>
      </c>
      <c r="GI77">
        <v>2</v>
      </c>
      <c r="GJ77">
        <v>0</v>
      </c>
      <c r="GK77">
        <f>ROUND(R77*(R12)/100,2)</f>
        <v>2323.54</v>
      </c>
      <c r="GL77">
        <f t="shared" si="83"/>
        <v>0</v>
      </c>
      <c r="GM77">
        <f t="shared" si="92"/>
        <v>99921.79</v>
      </c>
      <c r="GN77">
        <f t="shared" si="93"/>
        <v>99921.79</v>
      </c>
      <c r="GO77">
        <f t="shared" si="94"/>
        <v>0</v>
      </c>
      <c r="GP77">
        <f t="shared" si="95"/>
        <v>0</v>
      </c>
      <c r="GR77">
        <v>0</v>
      </c>
      <c r="GS77">
        <v>3</v>
      </c>
      <c r="GT77">
        <v>0</v>
      </c>
      <c r="GU77" t="s">
        <v>3</v>
      </c>
      <c r="GV77">
        <f t="shared" si="84"/>
        <v>0</v>
      </c>
      <c r="GW77">
        <v>1</v>
      </c>
      <c r="GX77">
        <f t="shared" si="85"/>
        <v>0</v>
      </c>
      <c r="HA77">
        <v>0</v>
      </c>
      <c r="HB77">
        <v>0</v>
      </c>
      <c r="HC77">
        <f t="shared" si="86"/>
        <v>0</v>
      </c>
      <c r="IK77">
        <v>0</v>
      </c>
    </row>
    <row r="78" spans="1:245" x14ac:dyDescent="0.2">
      <c r="A78">
        <v>18</v>
      </c>
      <c r="B78">
        <v>1</v>
      </c>
      <c r="C78">
        <v>28</v>
      </c>
      <c r="E78" t="s">
        <v>154</v>
      </c>
      <c r="F78" t="s">
        <v>155</v>
      </c>
      <c r="G78" t="s">
        <v>156</v>
      </c>
      <c r="H78" t="s">
        <v>157</v>
      </c>
      <c r="I78">
        <f>I77*J78</f>
        <v>6</v>
      </c>
      <c r="J78">
        <v>1</v>
      </c>
      <c r="O78">
        <f t="shared" si="61"/>
        <v>26311.279999999999</v>
      </c>
      <c r="P78">
        <f t="shared" si="62"/>
        <v>26311.279999999999</v>
      </c>
      <c r="Q78">
        <f>(ROUND((ROUND(((ET78)*AV78*I78),2)*BB78),2)+ROUND((ROUND(((AE78-(EU78))*AV78*I78),2)*BS78),2))</f>
        <v>0</v>
      </c>
      <c r="R78">
        <f t="shared" si="63"/>
        <v>0</v>
      </c>
      <c r="S78">
        <f t="shared" si="87"/>
        <v>0</v>
      </c>
      <c r="T78">
        <f t="shared" si="64"/>
        <v>0</v>
      </c>
      <c r="U78">
        <f t="shared" si="65"/>
        <v>0</v>
      </c>
      <c r="V78">
        <f t="shared" si="66"/>
        <v>0</v>
      </c>
      <c r="W78">
        <f t="shared" si="67"/>
        <v>0</v>
      </c>
      <c r="X78">
        <f t="shared" si="68"/>
        <v>0</v>
      </c>
      <c r="Y78">
        <f t="shared" si="69"/>
        <v>0</v>
      </c>
      <c r="AA78">
        <v>309315610</v>
      </c>
      <c r="AB78">
        <f t="shared" si="88"/>
        <v>2350.59</v>
      </c>
      <c r="AC78">
        <f t="shared" si="89"/>
        <v>2350.59</v>
      </c>
      <c r="AD78">
        <f>ROUND((((ET78)-(EU78))+AE78),6)</f>
        <v>0</v>
      </c>
      <c r="AE78">
        <f t="shared" ref="AE78:AF83" si="96">ROUND((EU78),6)</f>
        <v>0</v>
      </c>
      <c r="AF78">
        <f t="shared" si="96"/>
        <v>0</v>
      </c>
      <c r="AG78">
        <f t="shared" si="70"/>
        <v>0</v>
      </c>
      <c r="AH78">
        <f t="shared" ref="AH78:AI83" si="97">(EW78)</f>
        <v>0</v>
      </c>
      <c r="AI78">
        <f t="shared" si="97"/>
        <v>0</v>
      </c>
      <c r="AJ78">
        <f t="shared" si="71"/>
        <v>0</v>
      </c>
      <c r="AK78">
        <v>2350.59</v>
      </c>
      <c r="AL78">
        <v>2350.59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1</v>
      </c>
      <c r="AW78">
        <v>1.0029999999999999</v>
      </c>
      <c r="AZ78">
        <v>1</v>
      </c>
      <c r="BA78">
        <v>1</v>
      </c>
      <c r="BB78">
        <v>1</v>
      </c>
      <c r="BC78">
        <v>1.86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1</v>
      </c>
      <c r="BJ78" t="s">
        <v>158</v>
      </c>
      <c r="BM78">
        <v>142</v>
      </c>
      <c r="BN78">
        <v>0</v>
      </c>
      <c r="BO78" t="s">
        <v>155</v>
      </c>
      <c r="BP78">
        <v>1</v>
      </c>
      <c r="BQ78">
        <v>30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0</v>
      </c>
      <c r="CA78">
        <v>0</v>
      </c>
      <c r="CE78">
        <v>30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72"/>
        <v>26311.279999999999</v>
      </c>
      <c r="CQ78">
        <f t="shared" si="73"/>
        <v>4385.21</v>
      </c>
      <c r="CR78">
        <f>(ROUND((ROUND(((ET78)*AV78*1),2)*BB78),2)+ROUND((ROUND(((AE78-(EU78))*AV78*1),2)*BS78),2))</f>
        <v>0</v>
      </c>
      <c r="CS78">
        <f t="shared" si="74"/>
        <v>0</v>
      </c>
      <c r="CT78">
        <f t="shared" si="75"/>
        <v>0</v>
      </c>
      <c r="CU78">
        <f t="shared" si="76"/>
        <v>0</v>
      </c>
      <c r="CV78">
        <f t="shared" si="77"/>
        <v>0</v>
      </c>
      <c r="CW78">
        <f t="shared" si="78"/>
        <v>0</v>
      </c>
      <c r="CX78">
        <f t="shared" si="79"/>
        <v>0</v>
      </c>
      <c r="CY78">
        <f t="shared" si="80"/>
        <v>0</v>
      </c>
      <c r="CZ78">
        <f t="shared" si="81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133</v>
      </c>
      <c r="DO78">
        <v>113</v>
      </c>
      <c r="DP78">
        <v>1.0669999999999999</v>
      </c>
      <c r="DQ78">
        <v>1.0029999999999999</v>
      </c>
      <c r="DU78">
        <v>1013</v>
      </c>
      <c r="DV78" t="s">
        <v>157</v>
      </c>
      <c r="DW78" t="s">
        <v>157</v>
      </c>
      <c r="DX78">
        <v>1</v>
      </c>
      <c r="EE78">
        <v>298188218</v>
      </c>
      <c r="EF78">
        <v>30</v>
      </c>
      <c r="EG78" t="s">
        <v>46</v>
      </c>
      <c r="EH78">
        <v>0</v>
      </c>
      <c r="EI78" t="s">
        <v>3</v>
      </c>
      <c r="EJ78">
        <v>1</v>
      </c>
      <c r="EK78">
        <v>142</v>
      </c>
      <c r="EL78" t="s">
        <v>152</v>
      </c>
      <c r="EM78" t="s">
        <v>153</v>
      </c>
      <c r="EO78" t="s">
        <v>3</v>
      </c>
      <c r="EQ78">
        <v>512</v>
      </c>
      <c r="ER78">
        <v>2350.59</v>
      </c>
      <c r="ES78">
        <v>2350.59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f t="shared" si="82"/>
        <v>0</v>
      </c>
      <c r="FS78">
        <v>0</v>
      </c>
      <c r="FX78">
        <v>133</v>
      </c>
      <c r="FY78">
        <v>113</v>
      </c>
      <c r="GA78" t="s">
        <v>3</v>
      </c>
      <c r="GD78">
        <v>0</v>
      </c>
      <c r="GF78">
        <v>-536411909</v>
      </c>
      <c r="GG78">
        <v>2</v>
      </c>
      <c r="GH78">
        <v>1</v>
      </c>
      <c r="GI78">
        <v>2</v>
      </c>
      <c r="GJ78">
        <v>0</v>
      </c>
      <c r="GK78">
        <f>ROUND(R78*(R12)/100,2)</f>
        <v>0</v>
      </c>
      <c r="GL78">
        <f t="shared" si="83"/>
        <v>0</v>
      </c>
      <c r="GM78">
        <f t="shared" si="92"/>
        <v>26311.279999999999</v>
      </c>
      <c r="GN78">
        <f t="shared" si="93"/>
        <v>26311.279999999999</v>
      </c>
      <c r="GO78">
        <f t="shared" si="94"/>
        <v>0</v>
      </c>
      <c r="GP78">
        <f t="shared" si="95"/>
        <v>0</v>
      </c>
      <c r="GR78">
        <v>0</v>
      </c>
      <c r="GS78">
        <v>3</v>
      </c>
      <c r="GT78">
        <v>0</v>
      </c>
      <c r="GU78" t="s">
        <v>3</v>
      </c>
      <c r="GV78">
        <f t="shared" si="84"/>
        <v>0</v>
      </c>
      <c r="GW78">
        <v>1</v>
      </c>
      <c r="GX78">
        <f t="shared" si="85"/>
        <v>0</v>
      </c>
      <c r="HA78">
        <v>0</v>
      </c>
      <c r="HB78">
        <v>0</v>
      </c>
      <c r="HC78">
        <f t="shared" si="86"/>
        <v>0</v>
      </c>
      <c r="IK78">
        <v>0</v>
      </c>
    </row>
    <row r="79" spans="1:245" x14ac:dyDescent="0.2">
      <c r="A79">
        <v>17</v>
      </c>
      <c r="B79">
        <v>1</v>
      </c>
      <c r="C79">
        <f>ROW(SmtRes!A31)</f>
        <v>31</v>
      </c>
      <c r="D79">
        <f>ROW(EtalonRes!A29)</f>
        <v>29</v>
      </c>
      <c r="E79" t="s">
        <v>159</v>
      </c>
      <c r="F79" t="s">
        <v>42</v>
      </c>
      <c r="G79" t="s">
        <v>43</v>
      </c>
      <c r="H79" t="s">
        <v>44</v>
      </c>
      <c r="I79">
        <f>ROUND(I76/100,3)</f>
        <v>2.202</v>
      </c>
      <c r="J79">
        <v>0</v>
      </c>
      <c r="O79">
        <f t="shared" si="61"/>
        <v>18569.509999999998</v>
      </c>
      <c r="P79">
        <f t="shared" si="62"/>
        <v>0</v>
      </c>
      <c r="Q79">
        <f>(ROUND((ROUND(((ET79)*AV79*I79),2)*BB79),2)+ROUND((ROUND(((AE79-(EU79))*AV79*I79),2)*BS79),2))</f>
        <v>17776.39</v>
      </c>
      <c r="R79">
        <f t="shared" si="63"/>
        <v>7901.88</v>
      </c>
      <c r="S79">
        <f t="shared" si="87"/>
        <v>793.12</v>
      </c>
      <c r="T79">
        <f t="shared" si="64"/>
        <v>0</v>
      </c>
      <c r="U79">
        <f t="shared" si="65"/>
        <v>3.6222019199999993</v>
      </c>
      <c r="V79">
        <f t="shared" si="66"/>
        <v>0</v>
      </c>
      <c r="W79">
        <f t="shared" si="67"/>
        <v>0</v>
      </c>
      <c r="X79">
        <f t="shared" si="68"/>
        <v>729.67</v>
      </c>
      <c r="Y79">
        <f t="shared" si="69"/>
        <v>396.56</v>
      </c>
      <c r="AA79">
        <v>309315610</v>
      </c>
      <c r="AB79">
        <f t="shared" si="88"/>
        <v>771.65</v>
      </c>
      <c r="AC79">
        <f t="shared" si="89"/>
        <v>0</v>
      </c>
      <c r="AD79">
        <f>ROUND((((ET79)-(EU79))+AE79),6)</f>
        <v>757.55</v>
      </c>
      <c r="AE79">
        <f t="shared" si="96"/>
        <v>140.47999999999999</v>
      </c>
      <c r="AF79">
        <f t="shared" si="96"/>
        <v>14.1</v>
      </c>
      <c r="AG79">
        <f t="shared" si="70"/>
        <v>0</v>
      </c>
      <c r="AH79">
        <f t="shared" si="97"/>
        <v>1.38</v>
      </c>
      <c r="AI79">
        <f t="shared" si="97"/>
        <v>0</v>
      </c>
      <c r="AJ79">
        <f t="shared" si="71"/>
        <v>0</v>
      </c>
      <c r="AK79">
        <v>771.65</v>
      </c>
      <c r="AL79">
        <v>0</v>
      </c>
      <c r="AM79">
        <v>757.55</v>
      </c>
      <c r="AN79">
        <v>140.47999999999999</v>
      </c>
      <c r="AO79">
        <v>14.1</v>
      </c>
      <c r="AP79">
        <v>0</v>
      </c>
      <c r="AQ79">
        <v>1.38</v>
      </c>
      <c r="AR79">
        <v>0</v>
      </c>
      <c r="AS79">
        <v>0</v>
      </c>
      <c r="AT79">
        <v>92</v>
      </c>
      <c r="AU79">
        <v>50</v>
      </c>
      <c r="AV79">
        <v>1.1919999999999999</v>
      </c>
      <c r="AW79">
        <v>1</v>
      </c>
      <c r="AZ79">
        <v>1</v>
      </c>
      <c r="BA79">
        <v>21.43</v>
      </c>
      <c r="BB79">
        <v>8.94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1</v>
      </c>
      <c r="BJ79" t="s">
        <v>45</v>
      </c>
      <c r="BM79">
        <v>2</v>
      </c>
      <c r="BN79">
        <v>0</v>
      </c>
      <c r="BO79" t="s">
        <v>42</v>
      </c>
      <c r="BP79">
        <v>1</v>
      </c>
      <c r="BQ79">
        <v>30</v>
      </c>
      <c r="BR79">
        <v>0</v>
      </c>
      <c r="BS79">
        <v>21.43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92</v>
      </c>
      <c r="CA79">
        <v>50</v>
      </c>
      <c r="CE79">
        <v>30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72"/>
        <v>18569.509999999998</v>
      </c>
      <c r="CQ79">
        <f t="shared" si="73"/>
        <v>0</v>
      </c>
      <c r="CR79">
        <f>(ROUND((ROUND(((ET79)*AV79*1),2)*BB79),2)+ROUND((ROUND(((AE79-(EU79))*AV79*1),2)*BS79),2))</f>
        <v>8072.82</v>
      </c>
      <c r="CS79">
        <f t="shared" si="74"/>
        <v>3588.45</v>
      </c>
      <c r="CT79">
        <f t="shared" si="75"/>
        <v>360.24</v>
      </c>
      <c r="CU79">
        <f t="shared" si="76"/>
        <v>0</v>
      </c>
      <c r="CV79">
        <f t="shared" si="77"/>
        <v>1.6449599999999998</v>
      </c>
      <c r="CW79">
        <f t="shared" si="78"/>
        <v>0</v>
      </c>
      <c r="CX79">
        <f t="shared" si="79"/>
        <v>0</v>
      </c>
      <c r="CY79">
        <f t="shared" si="80"/>
        <v>729.67040000000009</v>
      </c>
      <c r="CZ79">
        <f t="shared" si="81"/>
        <v>396.56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98</v>
      </c>
      <c r="DO79">
        <v>77</v>
      </c>
      <c r="DP79">
        <v>1.1919999999999999</v>
      </c>
      <c r="DQ79">
        <v>1</v>
      </c>
      <c r="DU79">
        <v>1013</v>
      </c>
      <c r="DV79" t="s">
        <v>44</v>
      </c>
      <c r="DW79" t="s">
        <v>44</v>
      </c>
      <c r="DX79">
        <v>1</v>
      </c>
      <c r="EE79">
        <v>298188122</v>
      </c>
      <c r="EF79">
        <v>30</v>
      </c>
      <c r="EG79" t="s">
        <v>46</v>
      </c>
      <c r="EH79">
        <v>0</v>
      </c>
      <c r="EI79" t="s">
        <v>3</v>
      </c>
      <c r="EJ79">
        <v>1</v>
      </c>
      <c r="EK79">
        <v>2</v>
      </c>
      <c r="EL79" t="s">
        <v>47</v>
      </c>
      <c r="EM79" t="s">
        <v>48</v>
      </c>
      <c r="EO79" t="s">
        <v>3</v>
      </c>
      <c r="EQ79">
        <v>768</v>
      </c>
      <c r="ER79">
        <v>771.65</v>
      </c>
      <c r="ES79">
        <v>0</v>
      </c>
      <c r="ET79">
        <v>757.55</v>
      </c>
      <c r="EU79">
        <v>140.47999999999999</v>
      </c>
      <c r="EV79">
        <v>14.1</v>
      </c>
      <c r="EW79">
        <v>1.38</v>
      </c>
      <c r="EX79">
        <v>0</v>
      </c>
      <c r="EY79">
        <v>0</v>
      </c>
      <c r="FQ79">
        <v>0</v>
      </c>
      <c r="FR79">
        <f t="shared" si="82"/>
        <v>0</v>
      </c>
      <c r="FS79">
        <v>0</v>
      </c>
      <c r="FX79">
        <v>98</v>
      </c>
      <c r="FY79">
        <v>77</v>
      </c>
      <c r="GA79" t="s">
        <v>3</v>
      </c>
      <c r="GD79">
        <v>0</v>
      </c>
      <c r="GF79">
        <v>445216503</v>
      </c>
      <c r="GG79">
        <v>2</v>
      </c>
      <c r="GH79">
        <v>1</v>
      </c>
      <c r="GI79">
        <v>2</v>
      </c>
      <c r="GJ79">
        <v>0</v>
      </c>
      <c r="GK79">
        <f>ROUND(R79*(R12)/100,2)</f>
        <v>12405.95</v>
      </c>
      <c r="GL79">
        <f t="shared" si="83"/>
        <v>0</v>
      </c>
      <c r="GM79">
        <f t="shared" si="92"/>
        <v>32101.69</v>
      </c>
      <c r="GN79">
        <f t="shared" si="93"/>
        <v>32101.69</v>
      </c>
      <c r="GO79">
        <f t="shared" si="94"/>
        <v>0</v>
      </c>
      <c r="GP79">
        <f t="shared" si="95"/>
        <v>0</v>
      </c>
      <c r="GR79">
        <v>0</v>
      </c>
      <c r="GS79">
        <v>0</v>
      </c>
      <c r="GT79">
        <v>0</v>
      </c>
      <c r="GU79" t="s">
        <v>3</v>
      </c>
      <c r="GV79">
        <f t="shared" si="84"/>
        <v>0</v>
      </c>
      <c r="GW79">
        <v>1</v>
      </c>
      <c r="GX79">
        <f t="shared" si="85"/>
        <v>0</v>
      </c>
      <c r="HA79">
        <v>0</v>
      </c>
      <c r="HB79">
        <v>0</v>
      </c>
      <c r="HC79">
        <f t="shared" si="86"/>
        <v>0</v>
      </c>
      <c r="IK79">
        <v>0</v>
      </c>
    </row>
    <row r="80" spans="1:245" x14ac:dyDescent="0.2">
      <c r="A80">
        <v>17</v>
      </c>
      <c r="B80">
        <v>1</v>
      </c>
      <c r="C80">
        <f>ROW(SmtRes!A32)</f>
        <v>32</v>
      </c>
      <c r="D80">
        <f>ROW(EtalonRes!A30)</f>
        <v>30</v>
      </c>
      <c r="E80" t="s">
        <v>160</v>
      </c>
      <c r="F80" t="s">
        <v>50</v>
      </c>
      <c r="G80" t="s">
        <v>51</v>
      </c>
      <c r="H80" t="s">
        <v>52</v>
      </c>
      <c r="I80">
        <f>ROUND(I79*100,9)</f>
        <v>220.2</v>
      </c>
      <c r="J80">
        <v>0</v>
      </c>
      <c r="O80">
        <f t="shared" si="61"/>
        <v>95209.18</v>
      </c>
      <c r="P80">
        <f t="shared" si="62"/>
        <v>0</v>
      </c>
      <c r="Q80">
        <f>(ROUND((ROUND(((ET80+(SUM(SmtRes!BD32:'SmtRes'!BD32)+SUM(EtalonRes!AM30:'EtalonRes'!AM30)))*AV80*I80),2)*BB80),2)+ROUND((ROUND(((AE80-(EU80))*AV80*I80),2)*BS80),2))</f>
        <v>95209.18</v>
      </c>
      <c r="R80">
        <f t="shared" si="63"/>
        <v>0</v>
      </c>
      <c r="S80">
        <f t="shared" si="87"/>
        <v>0</v>
      </c>
      <c r="T80">
        <f t="shared" si="64"/>
        <v>0</v>
      </c>
      <c r="U80">
        <f t="shared" si="65"/>
        <v>0</v>
      </c>
      <c r="V80">
        <f t="shared" si="66"/>
        <v>0</v>
      </c>
      <c r="W80">
        <f t="shared" si="67"/>
        <v>0</v>
      </c>
      <c r="X80">
        <f t="shared" si="68"/>
        <v>0</v>
      </c>
      <c r="Y80">
        <f t="shared" si="69"/>
        <v>0</v>
      </c>
      <c r="AA80">
        <v>309315610</v>
      </c>
      <c r="AB80">
        <f t="shared" si="88"/>
        <v>45.37</v>
      </c>
      <c r="AC80">
        <f t="shared" si="89"/>
        <v>0</v>
      </c>
      <c r="AD80">
        <f>ROUND((((ET80+(SUM(SmtRes!BD32:'SmtRes'!BD32)+SUM(EtalonRes!AM30:'EtalonRes'!AM30)))-(EU80))+AE80),6)</f>
        <v>45.37</v>
      </c>
      <c r="AE80">
        <f t="shared" si="96"/>
        <v>0</v>
      </c>
      <c r="AF80">
        <f t="shared" si="96"/>
        <v>0</v>
      </c>
      <c r="AG80">
        <f t="shared" si="70"/>
        <v>0</v>
      </c>
      <c r="AH80">
        <f t="shared" si="97"/>
        <v>0</v>
      </c>
      <c r="AI80">
        <f t="shared" si="97"/>
        <v>0</v>
      </c>
      <c r="AJ80">
        <f t="shared" si="71"/>
        <v>0</v>
      </c>
      <c r="AK80">
        <v>73.78</v>
      </c>
      <c r="AL80">
        <v>0</v>
      </c>
      <c r="AM80">
        <v>73.78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1</v>
      </c>
      <c r="AW80">
        <v>1</v>
      </c>
      <c r="AZ80">
        <v>1</v>
      </c>
      <c r="BA80">
        <v>21.43</v>
      </c>
      <c r="BB80">
        <v>9.5299999999999994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53</v>
      </c>
      <c r="BM80">
        <v>1111</v>
      </c>
      <c r="BN80">
        <v>0</v>
      </c>
      <c r="BO80" t="s">
        <v>50</v>
      </c>
      <c r="BP80">
        <v>1</v>
      </c>
      <c r="BQ80">
        <v>150</v>
      </c>
      <c r="BR80">
        <v>0</v>
      </c>
      <c r="BS80">
        <v>21.43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0</v>
      </c>
      <c r="CA80">
        <v>0</v>
      </c>
      <c r="CE80">
        <v>30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72"/>
        <v>95209.18</v>
      </c>
      <c r="CQ80">
        <f t="shared" si="73"/>
        <v>0</v>
      </c>
      <c r="CR80">
        <f>(ROUND((ROUND(((ET80+(SUM(SmtRes!BD32:'SmtRes'!BD32)+SUM(EtalonRes!AM30:'EtalonRes'!AM30)))*AV80*1),2)*BB80),2)+ROUND((ROUND(((AE80-(EU80))*AV80*1),2)*BS80),2))</f>
        <v>432.38</v>
      </c>
      <c r="CS80">
        <f t="shared" si="74"/>
        <v>0</v>
      </c>
      <c r="CT80">
        <f t="shared" si="75"/>
        <v>0</v>
      </c>
      <c r="CU80">
        <f t="shared" si="76"/>
        <v>0</v>
      </c>
      <c r="CV80">
        <f t="shared" si="77"/>
        <v>0</v>
      </c>
      <c r="CW80">
        <f t="shared" si="78"/>
        <v>0</v>
      </c>
      <c r="CX80">
        <f t="shared" si="79"/>
        <v>0</v>
      </c>
      <c r="CY80">
        <f t="shared" si="80"/>
        <v>0</v>
      </c>
      <c r="CZ80">
        <f t="shared" si="81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1013</v>
      </c>
      <c r="DV80" t="s">
        <v>52</v>
      </c>
      <c r="DW80" t="s">
        <v>52</v>
      </c>
      <c r="DX80">
        <v>1</v>
      </c>
      <c r="EE80">
        <v>298189187</v>
      </c>
      <c r="EF80">
        <v>150</v>
      </c>
      <c r="EG80" t="s">
        <v>54</v>
      </c>
      <c r="EH80">
        <v>0</v>
      </c>
      <c r="EI80" t="s">
        <v>3</v>
      </c>
      <c r="EJ80">
        <v>4</v>
      </c>
      <c r="EK80">
        <v>1111</v>
      </c>
      <c r="EL80" t="s">
        <v>55</v>
      </c>
      <c r="EM80" t="s">
        <v>56</v>
      </c>
      <c r="EO80" t="s">
        <v>3</v>
      </c>
      <c r="EQ80">
        <v>768</v>
      </c>
      <c r="ER80">
        <v>73.78</v>
      </c>
      <c r="ES80">
        <v>0</v>
      </c>
      <c r="ET80">
        <v>73.78</v>
      </c>
      <c r="EU80">
        <v>0</v>
      </c>
      <c r="EV80">
        <v>0</v>
      </c>
      <c r="EW80">
        <v>0</v>
      </c>
      <c r="EX80">
        <v>0</v>
      </c>
      <c r="EY80">
        <v>1</v>
      </c>
      <c r="FQ80">
        <v>0</v>
      </c>
      <c r="FR80">
        <f t="shared" si="82"/>
        <v>0</v>
      </c>
      <c r="FS80">
        <v>0</v>
      </c>
      <c r="FX80">
        <v>0</v>
      </c>
      <c r="FY80">
        <v>0</v>
      </c>
      <c r="GA80" t="s">
        <v>3</v>
      </c>
      <c r="GD80">
        <v>1</v>
      </c>
      <c r="GF80">
        <v>583310256</v>
      </c>
      <c r="GG80">
        <v>2</v>
      </c>
      <c r="GH80">
        <v>1</v>
      </c>
      <c r="GI80">
        <v>2</v>
      </c>
      <c r="GJ80">
        <v>0</v>
      </c>
      <c r="GK80">
        <v>0</v>
      </c>
      <c r="GL80">
        <f t="shared" si="83"/>
        <v>0</v>
      </c>
      <c r="GM80">
        <f>ROUND(O80+X80+Y80,2)+GX80</f>
        <v>95209.18</v>
      </c>
      <c r="GN80">
        <f>IF(OR(BI80=0,BI80=1),ROUND(O80+X80+Y80,2),0)</f>
        <v>0</v>
      </c>
      <c r="GO80">
        <f>IF(BI80=2,ROUND(O80+X80+Y80,2),0)</f>
        <v>0</v>
      </c>
      <c r="GP80">
        <f>IF(BI80=4,ROUND(O80+X80+Y80,2)+GX80,0)</f>
        <v>95209.18</v>
      </c>
      <c r="GR80">
        <v>0</v>
      </c>
      <c r="GS80">
        <v>3</v>
      </c>
      <c r="GT80">
        <v>0</v>
      </c>
      <c r="GU80" t="s">
        <v>3</v>
      </c>
      <c r="GV80">
        <f t="shared" si="84"/>
        <v>0</v>
      </c>
      <c r="GW80">
        <v>1</v>
      </c>
      <c r="GX80">
        <f t="shared" si="85"/>
        <v>0</v>
      </c>
      <c r="HA80">
        <v>0</v>
      </c>
      <c r="HB80">
        <v>0</v>
      </c>
      <c r="HC80">
        <f t="shared" si="86"/>
        <v>0</v>
      </c>
      <c r="IK80">
        <v>0</v>
      </c>
    </row>
    <row r="81" spans="1:245" x14ac:dyDescent="0.2">
      <c r="A81">
        <v>17</v>
      </c>
      <c r="B81">
        <v>1</v>
      </c>
      <c r="C81">
        <f>ROW(SmtRes!A33)</f>
        <v>33</v>
      </c>
      <c r="D81">
        <f>ROW(EtalonRes!A31)</f>
        <v>31</v>
      </c>
      <c r="E81" t="s">
        <v>161</v>
      </c>
      <c r="F81" t="s">
        <v>58</v>
      </c>
      <c r="G81" t="s">
        <v>59</v>
      </c>
      <c r="H81" t="s">
        <v>60</v>
      </c>
      <c r="I81">
        <f>ROUND(I80*1.8,9)</f>
        <v>396.36</v>
      </c>
      <c r="J81">
        <v>0</v>
      </c>
      <c r="O81">
        <f t="shared" si="61"/>
        <v>49233.3</v>
      </c>
      <c r="P81">
        <f t="shared" si="62"/>
        <v>0</v>
      </c>
      <c r="Q81">
        <f>(ROUND((ROUND(((ET81)*AV81*I81),2)*BB81),2)+ROUND((ROUND(((AE81-(EU81))*AV81*I81),2)*BS81),2))</f>
        <v>49233.3</v>
      </c>
      <c r="R81">
        <f t="shared" si="63"/>
        <v>0</v>
      </c>
      <c r="S81">
        <f t="shared" si="87"/>
        <v>0</v>
      </c>
      <c r="T81">
        <f t="shared" si="64"/>
        <v>0</v>
      </c>
      <c r="U81">
        <f t="shared" si="65"/>
        <v>0</v>
      </c>
      <c r="V81">
        <f t="shared" si="66"/>
        <v>0</v>
      </c>
      <c r="W81">
        <f t="shared" si="67"/>
        <v>0</v>
      </c>
      <c r="X81">
        <f t="shared" si="68"/>
        <v>0</v>
      </c>
      <c r="Y81">
        <f t="shared" si="69"/>
        <v>0</v>
      </c>
      <c r="AA81">
        <v>309315610</v>
      </c>
      <c r="AB81">
        <f t="shared" si="88"/>
        <v>43.28</v>
      </c>
      <c r="AC81">
        <f t="shared" si="89"/>
        <v>0</v>
      </c>
      <c r="AD81">
        <f>ROUND((((ET81)-(EU81))+AE81),6)</f>
        <v>43.28</v>
      </c>
      <c r="AE81">
        <f t="shared" si="96"/>
        <v>0</v>
      </c>
      <c r="AF81">
        <f t="shared" si="96"/>
        <v>0</v>
      </c>
      <c r="AG81">
        <f t="shared" si="70"/>
        <v>0</v>
      </c>
      <c r="AH81">
        <f t="shared" si="97"/>
        <v>0</v>
      </c>
      <c r="AI81">
        <f t="shared" si="97"/>
        <v>0</v>
      </c>
      <c r="AJ81">
        <f t="shared" si="71"/>
        <v>0</v>
      </c>
      <c r="AK81">
        <v>43.28</v>
      </c>
      <c r="AL81">
        <v>0</v>
      </c>
      <c r="AM81">
        <v>43.28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21.43</v>
      </c>
      <c r="BB81">
        <v>2.87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61</v>
      </c>
      <c r="BM81">
        <v>1111</v>
      </c>
      <c r="BN81">
        <v>0</v>
      </c>
      <c r="BO81" t="s">
        <v>58</v>
      </c>
      <c r="BP81">
        <v>1</v>
      </c>
      <c r="BQ81">
        <v>150</v>
      </c>
      <c r="BR81">
        <v>0</v>
      </c>
      <c r="BS81">
        <v>21.43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0</v>
      </c>
      <c r="CA81">
        <v>0</v>
      </c>
      <c r="CE81">
        <v>30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72"/>
        <v>49233.3</v>
      </c>
      <c r="CQ81">
        <f t="shared" si="73"/>
        <v>0</v>
      </c>
      <c r="CR81">
        <f>(ROUND((ROUND(((ET81)*AV81*1),2)*BB81),2)+ROUND((ROUND(((AE81-(EU81))*AV81*1),2)*BS81),2))</f>
        <v>124.21</v>
      </c>
      <c r="CS81">
        <f t="shared" si="74"/>
        <v>0</v>
      </c>
      <c r="CT81">
        <f t="shared" si="75"/>
        <v>0</v>
      </c>
      <c r="CU81">
        <f t="shared" si="76"/>
        <v>0</v>
      </c>
      <c r="CV81">
        <f t="shared" si="77"/>
        <v>0</v>
      </c>
      <c r="CW81">
        <f t="shared" si="78"/>
        <v>0</v>
      </c>
      <c r="CX81">
        <f t="shared" si="79"/>
        <v>0</v>
      </c>
      <c r="CY81">
        <f t="shared" si="80"/>
        <v>0</v>
      </c>
      <c r="CZ81">
        <f t="shared" si="81"/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60</v>
      </c>
      <c r="DW81" t="s">
        <v>60</v>
      </c>
      <c r="DX81">
        <v>1</v>
      </c>
      <c r="EE81">
        <v>298189187</v>
      </c>
      <c r="EF81">
        <v>150</v>
      </c>
      <c r="EG81" t="s">
        <v>54</v>
      </c>
      <c r="EH81">
        <v>0</v>
      </c>
      <c r="EI81" t="s">
        <v>3</v>
      </c>
      <c r="EJ81">
        <v>4</v>
      </c>
      <c r="EK81">
        <v>1111</v>
      </c>
      <c r="EL81" t="s">
        <v>55</v>
      </c>
      <c r="EM81" t="s">
        <v>56</v>
      </c>
      <c r="EO81" t="s">
        <v>3</v>
      </c>
      <c r="EQ81">
        <v>768</v>
      </c>
      <c r="ER81">
        <v>43.28</v>
      </c>
      <c r="ES81">
        <v>0</v>
      </c>
      <c r="ET81">
        <v>43.28</v>
      </c>
      <c r="EU81">
        <v>0</v>
      </c>
      <c r="EV81">
        <v>0</v>
      </c>
      <c r="EW81">
        <v>0</v>
      </c>
      <c r="EX81">
        <v>0</v>
      </c>
      <c r="EY81">
        <v>0</v>
      </c>
      <c r="FQ81">
        <v>0</v>
      </c>
      <c r="FR81">
        <f t="shared" si="82"/>
        <v>0</v>
      </c>
      <c r="FS81">
        <v>0</v>
      </c>
      <c r="FX81">
        <v>0</v>
      </c>
      <c r="FY81">
        <v>0</v>
      </c>
      <c r="GA81" t="s">
        <v>3</v>
      </c>
      <c r="GD81">
        <v>1</v>
      </c>
      <c r="GF81">
        <v>-1830155644</v>
      </c>
      <c r="GG81">
        <v>2</v>
      </c>
      <c r="GH81">
        <v>1</v>
      </c>
      <c r="GI81">
        <v>2</v>
      </c>
      <c r="GJ81">
        <v>0</v>
      </c>
      <c r="GK81">
        <v>0</v>
      </c>
      <c r="GL81">
        <f t="shared" si="83"/>
        <v>0</v>
      </c>
      <c r="GM81">
        <f>ROUND(O81+X81+Y81,2)+GX81</f>
        <v>49233.3</v>
      </c>
      <c r="GN81">
        <f>IF(OR(BI81=0,BI81=1),ROUND(O81+X81+Y81,2),0)</f>
        <v>0</v>
      </c>
      <c r="GO81">
        <f>IF(BI81=2,ROUND(O81+X81+Y81,2),0)</f>
        <v>0</v>
      </c>
      <c r="GP81">
        <f>IF(BI81=4,ROUND(O81+X81+Y81,2)+GX81,0)</f>
        <v>49233.3</v>
      </c>
      <c r="GR81">
        <v>0</v>
      </c>
      <c r="GS81">
        <v>0</v>
      </c>
      <c r="GT81">
        <v>0</v>
      </c>
      <c r="GU81" t="s">
        <v>3</v>
      </c>
      <c r="GV81">
        <f t="shared" si="84"/>
        <v>0</v>
      </c>
      <c r="GW81">
        <v>1</v>
      </c>
      <c r="GX81">
        <f t="shared" si="85"/>
        <v>0</v>
      </c>
      <c r="HA81">
        <v>0</v>
      </c>
      <c r="HB81">
        <v>0</v>
      </c>
      <c r="HC81">
        <f t="shared" si="86"/>
        <v>0</v>
      </c>
      <c r="IK81">
        <v>0</v>
      </c>
    </row>
    <row r="82" spans="1:245" x14ac:dyDescent="0.2">
      <c r="A82">
        <v>17</v>
      </c>
      <c r="B82">
        <v>1</v>
      </c>
      <c r="C82">
        <f>ROW(SmtRes!A34)</f>
        <v>34</v>
      </c>
      <c r="D82">
        <f>ROW(EtalonRes!A32)</f>
        <v>32</v>
      </c>
      <c r="E82" t="s">
        <v>162</v>
      </c>
      <c r="F82" t="s">
        <v>63</v>
      </c>
      <c r="G82" t="s">
        <v>64</v>
      </c>
      <c r="H82" t="s">
        <v>60</v>
      </c>
      <c r="I82">
        <f>ROUND(I75,3)</f>
        <v>80.962999999999994</v>
      </c>
      <c r="J82">
        <v>0</v>
      </c>
      <c r="O82">
        <f t="shared" si="61"/>
        <v>19568.830000000002</v>
      </c>
      <c r="P82">
        <f t="shared" si="62"/>
        <v>0</v>
      </c>
      <c r="Q82">
        <f>(ROUND((ROUND(((ET82)*AV82*I82),2)*BB82),2)+ROUND((ROUND(((AE82-(EU82))*AV82*I82),2)*BS82),2))</f>
        <v>19568.830000000002</v>
      </c>
      <c r="R82">
        <f t="shared" si="63"/>
        <v>0</v>
      </c>
      <c r="S82">
        <f t="shared" si="87"/>
        <v>0</v>
      </c>
      <c r="T82">
        <f t="shared" si="64"/>
        <v>0</v>
      </c>
      <c r="U82">
        <f t="shared" si="65"/>
        <v>0</v>
      </c>
      <c r="V82">
        <f t="shared" si="66"/>
        <v>0</v>
      </c>
      <c r="W82">
        <f t="shared" si="67"/>
        <v>0</v>
      </c>
      <c r="X82">
        <f t="shared" si="68"/>
        <v>0</v>
      </c>
      <c r="Y82">
        <f t="shared" si="69"/>
        <v>0</v>
      </c>
      <c r="AA82">
        <v>309315610</v>
      </c>
      <c r="AB82">
        <f t="shared" si="88"/>
        <v>27.91</v>
      </c>
      <c r="AC82">
        <f t="shared" si="89"/>
        <v>0</v>
      </c>
      <c r="AD82">
        <f>ROUND((((ET82)-(EU82))+AE82),6)</f>
        <v>27.91</v>
      </c>
      <c r="AE82">
        <f t="shared" si="96"/>
        <v>0</v>
      </c>
      <c r="AF82">
        <f t="shared" si="96"/>
        <v>0</v>
      </c>
      <c r="AG82">
        <f t="shared" si="70"/>
        <v>0</v>
      </c>
      <c r="AH82">
        <f t="shared" si="97"/>
        <v>0</v>
      </c>
      <c r="AI82">
        <f t="shared" si="97"/>
        <v>0</v>
      </c>
      <c r="AJ82">
        <f t="shared" si="71"/>
        <v>0</v>
      </c>
      <c r="AK82">
        <v>27.91</v>
      </c>
      <c r="AL82">
        <v>0</v>
      </c>
      <c r="AM82">
        <v>27.91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21.43</v>
      </c>
      <c r="BB82">
        <v>8.66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65</v>
      </c>
      <c r="BM82">
        <v>1113</v>
      </c>
      <c r="BN82">
        <v>0</v>
      </c>
      <c r="BO82" t="s">
        <v>63</v>
      </c>
      <c r="BP82">
        <v>1</v>
      </c>
      <c r="BQ82">
        <v>150</v>
      </c>
      <c r="BR82">
        <v>0</v>
      </c>
      <c r="BS82">
        <v>21.43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0</v>
      </c>
      <c r="CA82">
        <v>0</v>
      </c>
      <c r="CE82">
        <v>30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72"/>
        <v>19568.830000000002</v>
      </c>
      <c r="CQ82">
        <f t="shared" si="73"/>
        <v>0</v>
      </c>
      <c r="CR82">
        <f>(ROUND((ROUND(((ET82)*AV82*1),2)*BB82),2)+ROUND((ROUND(((AE82-(EU82))*AV82*1),2)*BS82),2))</f>
        <v>241.7</v>
      </c>
      <c r="CS82">
        <f t="shared" si="74"/>
        <v>0</v>
      </c>
      <c r="CT82">
        <f t="shared" si="75"/>
        <v>0</v>
      </c>
      <c r="CU82">
        <f t="shared" si="76"/>
        <v>0</v>
      </c>
      <c r="CV82">
        <f t="shared" si="77"/>
        <v>0</v>
      </c>
      <c r="CW82">
        <f t="shared" si="78"/>
        <v>0</v>
      </c>
      <c r="CX82">
        <f t="shared" si="79"/>
        <v>0</v>
      </c>
      <c r="CY82">
        <f t="shared" si="80"/>
        <v>0</v>
      </c>
      <c r="CZ82">
        <f t="shared" si="81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1013</v>
      </c>
      <c r="DV82" t="s">
        <v>60</v>
      </c>
      <c r="DW82" t="s">
        <v>60</v>
      </c>
      <c r="DX82">
        <v>1</v>
      </c>
      <c r="EE82">
        <v>298189189</v>
      </c>
      <c r="EF82">
        <v>150</v>
      </c>
      <c r="EG82" t="s">
        <v>54</v>
      </c>
      <c r="EH82">
        <v>0</v>
      </c>
      <c r="EI82" t="s">
        <v>3</v>
      </c>
      <c r="EJ82">
        <v>4</v>
      </c>
      <c r="EK82">
        <v>1113</v>
      </c>
      <c r="EL82" t="s">
        <v>66</v>
      </c>
      <c r="EM82" t="s">
        <v>67</v>
      </c>
      <c r="EO82" t="s">
        <v>3</v>
      </c>
      <c r="EQ82">
        <v>768</v>
      </c>
      <c r="ER82">
        <v>27.91</v>
      </c>
      <c r="ES82">
        <v>0</v>
      </c>
      <c r="ET82">
        <v>27.91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82"/>
        <v>0</v>
      </c>
      <c r="FS82">
        <v>0</v>
      </c>
      <c r="FX82">
        <v>0</v>
      </c>
      <c r="FY82">
        <v>0</v>
      </c>
      <c r="GA82" t="s">
        <v>3</v>
      </c>
      <c r="GD82">
        <v>1</v>
      </c>
      <c r="GF82">
        <v>-1712937699</v>
      </c>
      <c r="GG82">
        <v>2</v>
      </c>
      <c r="GH82">
        <v>1</v>
      </c>
      <c r="GI82">
        <v>2</v>
      </c>
      <c r="GJ82">
        <v>0</v>
      </c>
      <c r="GK82">
        <v>0</v>
      </c>
      <c r="GL82">
        <f t="shared" si="83"/>
        <v>0</v>
      </c>
      <c r="GM82">
        <f>ROUND(O82+X82+Y82,2)+GX82</f>
        <v>19568.830000000002</v>
      </c>
      <c r="GN82">
        <f>IF(OR(BI82=0,BI82=1),ROUND(O82+X82+Y82,2),0)</f>
        <v>0</v>
      </c>
      <c r="GO82">
        <f>IF(BI82=2,ROUND(O82+X82+Y82,2),0)</f>
        <v>0</v>
      </c>
      <c r="GP82">
        <f>IF(BI82=4,ROUND(O82+X82+Y82,2)+GX82,0)</f>
        <v>19568.830000000002</v>
      </c>
      <c r="GR82">
        <v>0</v>
      </c>
      <c r="GS82">
        <v>3</v>
      </c>
      <c r="GT82">
        <v>0</v>
      </c>
      <c r="GU82" t="s">
        <v>3</v>
      </c>
      <c r="GV82">
        <f t="shared" si="84"/>
        <v>0</v>
      </c>
      <c r="GW82">
        <v>1</v>
      </c>
      <c r="GX82">
        <f t="shared" si="85"/>
        <v>0</v>
      </c>
      <c r="HA82">
        <v>0</v>
      </c>
      <c r="HB82">
        <v>0</v>
      </c>
      <c r="HC82">
        <f t="shared" si="86"/>
        <v>0</v>
      </c>
      <c r="IK82">
        <v>0</v>
      </c>
    </row>
    <row r="83" spans="1:245" x14ac:dyDescent="0.2">
      <c r="A83">
        <v>17</v>
      </c>
      <c r="B83">
        <v>1</v>
      </c>
      <c r="C83">
        <f>ROW(SmtRes!A35)</f>
        <v>35</v>
      </c>
      <c r="D83">
        <f>ROW(EtalonRes!A33)</f>
        <v>33</v>
      </c>
      <c r="E83" t="s">
        <v>163</v>
      </c>
      <c r="F83" t="s">
        <v>69</v>
      </c>
      <c r="G83" t="s">
        <v>70</v>
      </c>
      <c r="H83" t="s">
        <v>60</v>
      </c>
      <c r="I83">
        <f>ROUND(I82,9)</f>
        <v>80.962999999999994</v>
      </c>
      <c r="J83">
        <v>0</v>
      </c>
      <c r="O83">
        <f t="shared" si="61"/>
        <v>17499.34</v>
      </c>
      <c r="P83">
        <f t="shared" si="62"/>
        <v>0</v>
      </c>
      <c r="Q83">
        <f>(ROUND((ROUND(((ET83)*AV83*I83),2)*BB83),2)+ROUND((ROUND(((AE83-(EU83))*AV83*I83),2)*BS83),2))</f>
        <v>17499.34</v>
      </c>
      <c r="R83">
        <f t="shared" si="63"/>
        <v>0</v>
      </c>
      <c r="S83">
        <f t="shared" si="87"/>
        <v>0</v>
      </c>
      <c r="T83">
        <f t="shared" si="64"/>
        <v>0</v>
      </c>
      <c r="U83">
        <f t="shared" si="65"/>
        <v>0</v>
      </c>
      <c r="V83">
        <f t="shared" si="66"/>
        <v>0</v>
      </c>
      <c r="W83">
        <f t="shared" si="67"/>
        <v>0</v>
      </c>
      <c r="X83">
        <f t="shared" si="68"/>
        <v>0</v>
      </c>
      <c r="Y83">
        <f t="shared" si="69"/>
        <v>0</v>
      </c>
      <c r="AA83">
        <v>309315610</v>
      </c>
      <c r="AB83">
        <f t="shared" si="88"/>
        <v>101</v>
      </c>
      <c r="AC83">
        <f t="shared" si="89"/>
        <v>0</v>
      </c>
      <c r="AD83">
        <f>ROUND((((ET83)-(EU83))+AE83),6)</f>
        <v>101</v>
      </c>
      <c r="AE83">
        <f t="shared" si="96"/>
        <v>0</v>
      </c>
      <c r="AF83">
        <f t="shared" si="96"/>
        <v>0</v>
      </c>
      <c r="AG83">
        <f t="shared" si="70"/>
        <v>0</v>
      </c>
      <c r="AH83">
        <f t="shared" si="97"/>
        <v>0</v>
      </c>
      <c r="AI83">
        <f t="shared" si="97"/>
        <v>0</v>
      </c>
      <c r="AJ83">
        <f t="shared" si="71"/>
        <v>0</v>
      </c>
      <c r="AK83">
        <v>101</v>
      </c>
      <c r="AL83">
        <v>0</v>
      </c>
      <c r="AM83">
        <v>101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21.43</v>
      </c>
      <c r="BB83">
        <v>2.14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71</v>
      </c>
      <c r="BM83">
        <v>1110</v>
      </c>
      <c r="BN83">
        <v>0</v>
      </c>
      <c r="BO83" t="s">
        <v>69</v>
      </c>
      <c r="BP83">
        <v>1</v>
      </c>
      <c r="BQ83">
        <v>150</v>
      </c>
      <c r="BR83">
        <v>0</v>
      </c>
      <c r="BS83">
        <v>21.43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0</v>
      </c>
      <c r="CA83">
        <v>0</v>
      </c>
      <c r="CE83">
        <v>30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72"/>
        <v>17499.34</v>
      </c>
      <c r="CQ83">
        <f t="shared" si="73"/>
        <v>0</v>
      </c>
      <c r="CR83">
        <f>(ROUND((ROUND(((ET83)*AV83*1),2)*BB83),2)+ROUND((ROUND(((AE83-(EU83))*AV83*1),2)*BS83),2))</f>
        <v>216.14</v>
      </c>
      <c r="CS83">
        <f t="shared" si="74"/>
        <v>0</v>
      </c>
      <c r="CT83">
        <f t="shared" si="75"/>
        <v>0</v>
      </c>
      <c r="CU83">
        <f t="shared" si="76"/>
        <v>0</v>
      </c>
      <c r="CV83">
        <f t="shared" si="77"/>
        <v>0</v>
      </c>
      <c r="CW83">
        <f t="shared" si="78"/>
        <v>0</v>
      </c>
      <c r="CX83">
        <f t="shared" si="79"/>
        <v>0</v>
      </c>
      <c r="CY83">
        <f t="shared" si="80"/>
        <v>0</v>
      </c>
      <c r="CZ83">
        <f t="shared" si="81"/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1013</v>
      </c>
      <c r="DV83" t="s">
        <v>60</v>
      </c>
      <c r="DW83" t="s">
        <v>60</v>
      </c>
      <c r="DX83">
        <v>1</v>
      </c>
      <c r="EE83">
        <v>298189186</v>
      </c>
      <c r="EF83">
        <v>150</v>
      </c>
      <c r="EG83" t="s">
        <v>54</v>
      </c>
      <c r="EH83">
        <v>0</v>
      </c>
      <c r="EI83" t="s">
        <v>3</v>
      </c>
      <c r="EJ83">
        <v>4</v>
      </c>
      <c r="EK83">
        <v>1110</v>
      </c>
      <c r="EL83" t="s">
        <v>72</v>
      </c>
      <c r="EM83" t="s">
        <v>73</v>
      </c>
      <c r="EO83" t="s">
        <v>3</v>
      </c>
      <c r="EQ83">
        <v>256</v>
      </c>
      <c r="ER83">
        <v>101</v>
      </c>
      <c r="ES83">
        <v>0</v>
      </c>
      <c r="ET83">
        <v>101</v>
      </c>
      <c r="EU83">
        <v>0</v>
      </c>
      <c r="EV83">
        <v>0</v>
      </c>
      <c r="EW83">
        <v>0</v>
      </c>
      <c r="EX83">
        <v>0</v>
      </c>
      <c r="EY83">
        <v>0</v>
      </c>
      <c r="FQ83">
        <v>0</v>
      </c>
      <c r="FR83">
        <f t="shared" si="82"/>
        <v>0</v>
      </c>
      <c r="FS83">
        <v>0</v>
      </c>
      <c r="FX83">
        <v>0</v>
      </c>
      <c r="FY83">
        <v>0</v>
      </c>
      <c r="GA83" t="s">
        <v>3</v>
      </c>
      <c r="GD83">
        <v>1</v>
      </c>
      <c r="GF83">
        <v>1935715050</v>
      </c>
      <c r="GG83">
        <v>2</v>
      </c>
      <c r="GH83">
        <v>1</v>
      </c>
      <c r="GI83">
        <v>2</v>
      </c>
      <c r="GJ83">
        <v>0</v>
      </c>
      <c r="GK83">
        <v>0</v>
      </c>
      <c r="GL83">
        <f t="shared" si="83"/>
        <v>0</v>
      </c>
      <c r="GM83">
        <f>ROUND(O83+X83+Y83,2)+GX83</f>
        <v>17499.34</v>
      </c>
      <c r="GN83">
        <f>IF(OR(BI83=0,BI83=1),ROUND(O83+X83+Y83,2),0)</f>
        <v>0</v>
      </c>
      <c r="GO83">
        <f>IF(BI83=2,ROUND(O83+X83+Y83,2),0)</f>
        <v>0</v>
      </c>
      <c r="GP83">
        <f>IF(BI83=4,ROUND(O83+X83+Y83,2)+GX83,0)</f>
        <v>17499.34</v>
      </c>
      <c r="GR83">
        <v>0</v>
      </c>
      <c r="GS83">
        <v>0</v>
      </c>
      <c r="GT83">
        <v>0</v>
      </c>
      <c r="GU83" t="s">
        <v>3</v>
      </c>
      <c r="GV83">
        <f t="shared" si="84"/>
        <v>0</v>
      </c>
      <c r="GW83">
        <v>1</v>
      </c>
      <c r="GX83">
        <f t="shared" si="85"/>
        <v>0</v>
      </c>
      <c r="HA83">
        <v>0</v>
      </c>
      <c r="HB83">
        <v>0</v>
      </c>
      <c r="HC83">
        <f t="shared" si="86"/>
        <v>0</v>
      </c>
      <c r="IK83">
        <v>0</v>
      </c>
    </row>
    <row r="85" spans="1:245" x14ac:dyDescent="0.2">
      <c r="A85" s="2">
        <v>51</v>
      </c>
      <c r="B85" s="2">
        <f>B68</f>
        <v>1</v>
      </c>
      <c r="C85" s="2">
        <f>A68</f>
        <v>4</v>
      </c>
      <c r="D85" s="2">
        <f>ROW(A68)</f>
        <v>68</v>
      </c>
      <c r="E85" s="2"/>
      <c r="F85" s="2" t="str">
        <f>IF(F68&lt;&gt;"",F68,"")</f>
        <v>Новый раздел</v>
      </c>
      <c r="G85" s="2" t="str">
        <f>IF(G68&lt;&gt;"",G68,"")</f>
        <v>ТЕПЛОВАЯ СЕТЬ 2Ду100 в ППУ-ПЭ непроходном канале - 20.5м</v>
      </c>
      <c r="H85" s="2">
        <v>0</v>
      </c>
      <c r="I85" s="2"/>
      <c r="J85" s="2"/>
      <c r="K85" s="2"/>
      <c r="L85" s="2"/>
      <c r="M85" s="2"/>
      <c r="N85" s="2"/>
      <c r="O85" s="2">
        <f t="shared" ref="O85:T85" si="98">ROUND(AB85,2)</f>
        <v>1246560.51</v>
      </c>
      <c r="P85" s="2">
        <f t="shared" si="98"/>
        <v>1006331</v>
      </c>
      <c r="Q85" s="2">
        <f t="shared" si="98"/>
        <v>203504.92</v>
      </c>
      <c r="R85" s="2">
        <f t="shared" si="98"/>
        <v>9381.84</v>
      </c>
      <c r="S85" s="2">
        <f t="shared" si="98"/>
        <v>36724.589999999997</v>
      </c>
      <c r="T85" s="2">
        <f t="shared" si="98"/>
        <v>0</v>
      </c>
      <c r="U85" s="2">
        <f>AH85</f>
        <v>122.89146192</v>
      </c>
      <c r="V85" s="2">
        <f>AI85</f>
        <v>0</v>
      </c>
      <c r="W85" s="2">
        <f>ROUND(AJ85,2)</f>
        <v>0</v>
      </c>
      <c r="X85" s="2">
        <f>ROUND(AK85,2)</f>
        <v>38817.03</v>
      </c>
      <c r="Y85" s="2">
        <f>ROUND(AL85,2)</f>
        <v>19440.240000000002</v>
      </c>
      <c r="Z85" s="2"/>
      <c r="AA85" s="2"/>
      <c r="AB85" s="2">
        <f>ROUND(SUMIF(AA72:AA83,"=309315610",O72:O83),2)</f>
        <v>1246560.51</v>
      </c>
      <c r="AC85" s="2">
        <f>ROUND(SUMIF(AA72:AA83,"=309315610",P72:P83),2)</f>
        <v>1006331</v>
      </c>
      <c r="AD85" s="2">
        <f>ROUND(SUMIF(AA72:AA83,"=309315610",Q72:Q83),2)</f>
        <v>203504.92</v>
      </c>
      <c r="AE85" s="2">
        <f>ROUND(SUMIF(AA72:AA83,"=309315610",R72:R83),2)</f>
        <v>9381.84</v>
      </c>
      <c r="AF85" s="2">
        <f>ROUND(SUMIF(AA72:AA83,"=309315610",S72:S83),2)</f>
        <v>36724.589999999997</v>
      </c>
      <c r="AG85" s="2">
        <f>ROUND(SUMIF(AA72:AA83,"=309315610",T72:T83),2)</f>
        <v>0</v>
      </c>
      <c r="AH85" s="2">
        <f>SUMIF(AA72:AA83,"=309315610",U72:U83)</f>
        <v>122.89146192</v>
      </c>
      <c r="AI85" s="2">
        <f>SUMIF(AA72:AA83,"=309315610",V72:V83)</f>
        <v>0</v>
      </c>
      <c r="AJ85" s="2">
        <f>ROUND(SUMIF(AA72:AA83,"=309315610",W72:W83),2)</f>
        <v>0</v>
      </c>
      <c r="AK85" s="2">
        <f>ROUND(SUMIF(AA72:AA83,"=309315610",X72:X83),2)</f>
        <v>38817.03</v>
      </c>
      <c r="AL85" s="2">
        <f>ROUND(SUMIF(AA72:AA83,"=309315610",Y72:Y83),2)</f>
        <v>19440.240000000002</v>
      </c>
      <c r="AM85" s="2"/>
      <c r="AN85" s="2"/>
      <c r="AO85" s="2">
        <f t="shared" ref="AO85:BC85" si="99">ROUND(BX85,2)</f>
        <v>0</v>
      </c>
      <c r="AP85" s="2">
        <f t="shared" si="99"/>
        <v>0</v>
      </c>
      <c r="AQ85" s="2">
        <f t="shared" si="99"/>
        <v>0</v>
      </c>
      <c r="AR85" s="2">
        <f t="shared" si="99"/>
        <v>2438697.02</v>
      </c>
      <c r="AS85" s="2">
        <f t="shared" si="99"/>
        <v>2257186.37</v>
      </c>
      <c r="AT85" s="2">
        <f t="shared" si="99"/>
        <v>0</v>
      </c>
      <c r="AU85" s="2">
        <f t="shared" si="99"/>
        <v>181510.65</v>
      </c>
      <c r="AV85" s="2">
        <f t="shared" si="99"/>
        <v>1006331</v>
      </c>
      <c r="AW85" s="2">
        <f t="shared" si="99"/>
        <v>1006331</v>
      </c>
      <c r="AX85" s="2">
        <f t="shared" si="99"/>
        <v>0</v>
      </c>
      <c r="AY85" s="2">
        <f t="shared" si="99"/>
        <v>1006331</v>
      </c>
      <c r="AZ85" s="2">
        <f t="shared" si="99"/>
        <v>0</v>
      </c>
      <c r="BA85" s="2">
        <f t="shared" si="99"/>
        <v>0</v>
      </c>
      <c r="BB85" s="2">
        <f t="shared" si="99"/>
        <v>345184.88</v>
      </c>
      <c r="BC85" s="2">
        <f t="shared" si="99"/>
        <v>773964.87</v>
      </c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>
        <f>ROUND(SUMIF(AA72:AA83,"=309315610",FQ72:FQ83),2)</f>
        <v>0</v>
      </c>
      <c r="BY85" s="2">
        <f>ROUND(SUMIF(AA72:AA83,"=309315610",FR72:FR83),2)</f>
        <v>0</v>
      </c>
      <c r="BZ85" s="2">
        <f>ROUND(SUMIF(AA72:AA83,"=309315610",GL72:GL83),2)</f>
        <v>0</v>
      </c>
      <c r="CA85" s="2">
        <f>ROUND(SUMIF(AA72:AA83,"=309315610",GM72:GM83),2)</f>
        <v>2438697.02</v>
      </c>
      <c r="CB85" s="2">
        <f>ROUND(SUMIF(AA72:AA83,"=309315610",GN72:GN83),2)</f>
        <v>2257186.37</v>
      </c>
      <c r="CC85" s="2">
        <f>ROUND(SUMIF(AA72:AA83,"=309315610",GO72:GO83),2)</f>
        <v>0</v>
      </c>
      <c r="CD85" s="2">
        <f>ROUND(SUMIF(AA72:AA83,"=309315610",GP72:GP83),2)</f>
        <v>181510.65</v>
      </c>
      <c r="CE85" s="2">
        <f>AC85-BX85</f>
        <v>1006331</v>
      </c>
      <c r="CF85" s="2">
        <f>AC85-BY85</f>
        <v>1006331</v>
      </c>
      <c r="CG85" s="2">
        <f>BX85-BZ85</f>
        <v>0</v>
      </c>
      <c r="CH85" s="2">
        <f>AC85-BX85-BY85+BZ85</f>
        <v>1006331</v>
      </c>
      <c r="CI85" s="2">
        <f>BY85-BZ85</f>
        <v>0</v>
      </c>
      <c r="CJ85" s="2">
        <f>ROUND(SUMIF(AA72:AA83,"=309315610",GX72:GX83),2)</f>
        <v>0</v>
      </c>
      <c r="CK85" s="2">
        <f>ROUND(SUMIF(AA72:AA83,"=309315610",GY72:GY83),2)</f>
        <v>345184.88</v>
      </c>
      <c r="CL85" s="2">
        <f>ROUND(SUMIF(AA72:AA83,"=309315610",GZ72:GZ83),2)</f>
        <v>773964.87</v>
      </c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>
        <v>0</v>
      </c>
    </row>
    <row r="87" spans="1:245" x14ac:dyDescent="0.2">
      <c r="A87" s="4">
        <v>50</v>
      </c>
      <c r="B87" s="4">
        <v>0</v>
      </c>
      <c r="C87" s="4">
        <v>0</v>
      </c>
      <c r="D87" s="4">
        <v>1</v>
      </c>
      <c r="E87" s="4">
        <v>201</v>
      </c>
      <c r="F87" s="4">
        <f>ROUND(Source!O85,O87)</f>
        <v>1246560.51</v>
      </c>
      <c r="G87" s="4" t="s">
        <v>74</v>
      </c>
      <c r="H87" s="4" t="s">
        <v>75</v>
      </c>
      <c r="I87" s="4"/>
      <c r="J87" s="4"/>
      <c r="K87" s="4">
        <v>201</v>
      </c>
      <c r="L87" s="4">
        <v>1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45" x14ac:dyDescent="0.2">
      <c r="A88" s="4">
        <v>50</v>
      </c>
      <c r="B88" s="4">
        <v>0</v>
      </c>
      <c r="C88" s="4">
        <v>0</v>
      </c>
      <c r="D88" s="4">
        <v>1</v>
      </c>
      <c r="E88" s="4">
        <v>202</v>
      </c>
      <c r="F88" s="4">
        <f>ROUND(Source!P85,O88)</f>
        <v>1006331</v>
      </c>
      <c r="G88" s="4" t="s">
        <v>76</v>
      </c>
      <c r="H88" s="4" t="s">
        <v>77</v>
      </c>
      <c r="I88" s="4"/>
      <c r="J88" s="4"/>
      <c r="K88" s="4">
        <v>202</v>
      </c>
      <c r="L88" s="4">
        <v>2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222</v>
      </c>
      <c r="F89" s="4">
        <f>ROUND(Source!AO85,O89)</f>
        <v>0</v>
      </c>
      <c r="G89" s="4" t="s">
        <v>78</v>
      </c>
      <c r="H89" s="4" t="s">
        <v>79</v>
      </c>
      <c r="I89" s="4"/>
      <c r="J89" s="4"/>
      <c r="K89" s="4">
        <v>222</v>
      </c>
      <c r="L89" s="4">
        <v>3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225</v>
      </c>
      <c r="F90" s="4">
        <f>ROUND(Source!AV85,O90)</f>
        <v>1006331</v>
      </c>
      <c r="G90" s="4" t="s">
        <v>80</v>
      </c>
      <c r="H90" s="4" t="s">
        <v>81</v>
      </c>
      <c r="I90" s="4"/>
      <c r="J90" s="4"/>
      <c r="K90" s="4">
        <v>225</v>
      </c>
      <c r="L90" s="4">
        <v>4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226</v>
      </c>
      <c r="F91" s="4">
        <f>ROUND(Source!AW85,O91)</f>
        <v>1006331</v>
      </c>
      <c r="G91" s="4" t="s">
        <v>82</v>
      </c>
      <c r="H91" s="4" t="s">
        <v>83</v>
      </c>
      <c r="I91" s="4"/>
      <c r="J91" s="4"/>
      <c r="K91" s="4">
        <v>226</v>
      </c>
      <c r="L91" s="4">
        <v>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227</v>
      </c>
      <c r="F92" s="4">
        <f>ROUND(Source!AX85,O92)</f>
        <v>0</v>
      </c>
      <c r="G92" s="4" t="s">
        <v>84</v>
      </c>
      <c r="H92" s="4" t="s">
        <v>85</v>
      </c>
      <c r="I92" s="4"/>
      <c r="J92" s="4"/>
      <c r="K92" s="4">
        <v>227</v>
      </c>
      <c r="L92" s="4">
        <v>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228</v>
      </c>
      <c r="F93" s="4">
        <f>ROUND(Source!AY85,O93)</f>
        <v>1006331</v>
      </c>
      <c r="G93" s="4" t="s">
        <v>86</v>
      </c>
      <c r="H93" s="4" t="s">
        <v>87</v>
      </c>
      <c r="I93" s="4"/>
      <c r="J93" s="4"/>
      <c r="K93" s="4">
        <v>228</v>
      </c>
      <c r="L93" s="4">
        <v>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216</v>
      </c>
      <c r="F94" s="4">
        <f>ROUND(Source!AP85,O94)</f>
        <v>0</v>
      </c>
      <c r="G94" s="4" t="s">
        <v>88</v>
      </c>
      <c r="H94" s="4" t="s">
        <v>89</v>
      </c>
      <c r="I94" s="4"/>
      <c r="J94" s="4"/>
      <c r="K94" s="4">
        <v>216</v>
      </c>
      <c r="L94" s="4">
        <v>8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223</v>
      </c>
      <c r="F95" s="4">
        <f>ROUND(Source!AQ85,O95)</f>
        <v>0</v>
      </c>
      <c r="G95" s="4" t="s">
        <v>90</v>
      </c>
      <c r="H95" s="4" t="s">
        <v>91</v>
      </c>
      <c r="I95" s="4"/>
      <c r="J95" s="4"/>
      <c r="K95" s="4">
        <v>223</v>
      </c>
      <c r="L95" s="4">
        <v>9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229</v>
      </c>
      <c r="F96" s="4">
        <f>ROUND(Source!AZ85,O96)</f>
        <v>0</v>
      </c>
      <c r="G96" s="4" t="s">
        <v>92</v>
      </c>
      <c r="H96" s="4" t="s">
        <v>93</v>
      </c>
      <c r="I96" s="4"/>
      <c r="J96" s="4"/>
      <c r="K96" s="4">
        <v>229</v>
      </c>
      <c r="L96" s="4">
        <v>10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3" x14ac:dyDescent="0.2">
      <c r="A97" s="4">
        <v>50</v>
      </c>
      <c r="B97" s="4">
        <v>0</v>
      </c>
      <c r="C97" s="4">
        <v>0</v>
      </c>
      <c r="D97" s="4">
        <v>1</v>
      </c>
      <c r="E97" s="4">
        <v>203</v>
      </c>
      <c r="F97" s="4">
        <f>ROUND(Source!Q85,O97)</f>
        <v>203504.92</v>
      </c>
      <c r="G97" s="4" t="s">
        <v>94</v>
      </c>
      <c r="H97" s="4" t="s">
        <v>95</v>
      </c>
      <c r="I97" s="4"/>
      <c r="J97" s="4"/>
      <c r="K97" s="4">
        <v>203</v>
      </c>
      <c r="L97" s="4">
        <v>11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3" x14ac:dyDescent="0.2">
      <c r="A98" s="4">
        <v>50</v>
      </c>
      <c r="B98" s="4">
        <v>0</v>
      </c>
      <c r="C98" s="4">
        <v>0</v>
      </c>
      <c r="D98" s="4">
        <v>1</v>
      </c>
      <c r="E98" s="4">
        <v>231</v>
      </c>
      <c r="F98" s="4">
        <f>ROUND(Source!BB85,O98)</f>
        <v>345184.88</v>
      </c>
      <c r="G98" s="4" t="s">
        <v>96</v>
      </c>
      <c r="H98" s="4" t="s">
        <v>97</v>
      </c>
      <c r="I98" s="4"/>
      <c r="J98" s="4"/>
      <c r="K98" s="4">
        <v>231</v>
      </c>
      <c r="L98" s="4">
        <v>12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3" x14ac:dyDescent="0.2">
      <c r="A99" s="4">
        <v>50</v>
      </c>
      <c r="B99" s="4">
        <v>0</v>
      </c>
      <c r="C99" s="4">
        <v>0</v>
      </c>
      <c r="D99" s="4">
        <v>1</v>
      </c>
      <c r="E99" s="4">
        <v>204</v>
      </c>
      <c r="F99" s="4">
        <f>ROUND(Source!R85,O99)</f>
        <v>9381.84</v>
      </c>
      <c r="G99" s="4" t="s">
        <v>98</v>
      </c>
      <c r="H99" s="4" t="s">
        <v>99</v>
      </c>
      <c r="I99" s="4"/>
      <c r="J99" s="4"/>
      <c r="K99" s="4">
        <v>204</v>
      </c>
      <c r="L99" s="4">
        <v>13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3" x14ac:dyDescent="0.2">
      <c r="A100" s="4">
        <v>50</v>
      </c>
      <c r="B100" s="4">
        <v>0</v>
      </c>
      <c r="C100" s="4">
        <v>0</v>
      </c>
      <c r="D100" s="4">
        <v>1</v>
      </c>
      <c r="E100" s="4">
        <v>205</v>
      </c>
      <c r="F100" s="4">
        <f>ROUND(Source!S85,O100)</f>
        <v>36724.589999999997</v>
      </c>
      <c r="G100" s="4" t="s">
        <v>100</v>
      </c>
      <c r="H100" s="4" t="s">
        <v>101</v>
      </c>
      <c r="I100" s="4"/>
      <c r="J100" s="4"/>
      <c r="K100" s="4">
        <v>205</v>
      </c>
      <c r="L100" s="4">
        <v>14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3" x14ac:dyDescent="0.2">
      <c r="A101" s="4">
        <v>50</v>
      </c>
      <c r="B101" s="4">
        <v>0</v>
      </c>
      <c r="C101" s="4">
        <v>0</v>
      </c>
      <c r="D101" s="4">
        <v>1</v>
      </c>
      <c r="E101" s="4">
        <v>232</v>
      </c>
      <c r="F101" s="4">
        <f>ROUND(Source!BC85,O101)</f>
        <v>773964.87</v>
      </c>
      <c r="G101" s="4" t="s">
        <v>102</v>
      </c>
      <c r="H101" s="4" t="s">
        <v>103</v>
      </c>
      <c r="I101" s="4"/>
      <c r="J101" s="4"/>
      <c r="K101" s="4">
        <v>232</v>
      </c>
      <c r="L101" s="4">
        <v>15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3" x14ac:dyDescent="0.2">
      <c r="A102" s="4">
        <v>50</v>
      </c>
      <c r="B102" s="4">
        <v>0</v>
      </c>
      <c r="C102" s="4">
        <v>0</v>
      </c>
      <c r="D102" s="4">
        <v>1</v>
      </c>
      <c r="E102" s="4">
        <v>214</v>
      </c>
      <c r="F102" s="4">
        <f>ROUND(Source!AS85,O102)</f>
        <v>2257186.37</v>
      </c>
      <c r="G102" s="4" t="s">
        <v>104</v>
      </c>
      <c r="H102" s="4" t="s">
        <v>105</v>
      </c>
      <c r="I102" s="4"/>
      <c r="J102" s="4"/>
      <c r="K102" s="4">
        <v>214</v>
      </c>
      <c r="L102" s="4">
        <v>16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3" x14ac:dyDescent="0.2">
      <c r="A103" s="4">
        <v>50</v>
      </c>
      <c r="B103" s="4">
        <v>0</v>
      </c>
      <c r="C103" s="4">
        <v>0</v>
      </c>
      <c r="D103" s="4">
        <v>1</v>
      </c>
      <c r="E103" s="4">
        <v>215</v>
      </c>
      <c r="F103" s="4">
        <f>ROUND(Source!AT85,O103)</f>
        <v>0</v>
      </c>
      <c r="G103" s="4" t="s">
        <v>106</v>
      </c>
      <c r="H103" s="4" t="s">
        <v>107</v>
      </c>
      <c r="I103" s="4"/>
      <c r="J103" s="4"/>
      <c r="K103" s="4">
        <v>215</v>
      </c>
      <c r="L103" s="4">
        <v>17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4" spans="1:23" x14ac:dyDescent="0.2">
      <c r="A104" s="4">
        <v>50</v>
      </c>
      <c r="B104" s="4">
        <v>0</v>
      </c>
      <c r="C104" s="4">
        <v>0</v>
      </c>
      <c r="D104" s="4">
        <v>1</v>
      </c>
      <c r="E104" s="4">
        <v>217</v>
      </c>
      <c r="F104" s="4">
        <f>ROUND(Source!AU85,O104)</f>
        <v>181510.65</v>
      </c>
      <c r="G104" s="4" t="s">
        <v>108</v>
      </c>
      <c r="H104" s="4" t="s">
        <v>109</v>
      </c>
      <c r="I104" s="4"/>
      <c r="J104" s="4"/>
      <c r="K104" s="4">
        <v>217</v>
      </c>
      <c r="L104" s="4">
        <v>18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3" x14ac:dyDescent="0.2">
      <c r="A105" s="4">
        <v>50</v>
      </c>
      <c r="B105" s="4">
        <v>0</v>
      </c>
      <c r="C105" s="4">
        <v>0</v>
      </c>
      <c r="D105" s="4">
        <v>1</v>
      </c>
      <c r="E105" s="4">
        <v>230</v>
      </c>
      <c r="F105" s="4">
        <f>ROUND(Source!BA85,O105)</f>
        <v>0</v>
      </c>
      <c r="G105" s="4" t="s">
        <v>110</v>
      </c>
      <c r="H105" s="4" t="s">
        <v>111</v>
      </c>
      <c r="I105" s="4"/>
      <c r="J105" s="4"/>
      <c r="K105" s="4">
        <v>230</v>
      </c>
      <c r="L105" s="4">
        <v>19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3" x14ac:dyDescent="0.2">
      <c r="A106" s="4">
        <v>50</v>
      </c>
      <c r="B106" s="4">
        <v>0</v>
      </c>
      <c r="C106" s="4">
        <v>0</v>
      </c>
      <c r="D106" s="4">
        <v>1</v>
      </c>
      <c r="E106" s="4">
        <v>206</v>
      </c>
      <c r="F106" s="4">
        <f>ROUND(Source!T85,O106)</f>
        <v>0</v>
      </c>
      <c r="G106" s="4" t="s">
        <v>112</v>
      </c>
      <c r="H106" s="4" t="s">
        <v>113</v>
      </c>
      <c r="I106" s="4"/>
      <c r="J106" s="4"/>
      <c r="K106" s="4">
        <v>206</v>
      </c>
      <c r="L106" s="4">
        <v>20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3" x14ac:dyDescent="0.2">
      <c r="A107" s="4">
        <v>50</v>
      </c>
      <c r="B107" s="4">
        <v>0</v>
      </c>
      <c r="C107" s="4">
        <v>0</v>
      </c>
      <c r="D107" s="4">
        <v>1</v>
      </c>
      <c r="E107" s="4">
        <v>207</v>
      </c>
      <c r="F107" s="4">
        <f>Source!U85</f>
        <v>122.89146192</v>
      </c>
      <c r="G107" s="4" t="s">
        <v>114</v>
      </c>
      <c r="H107" s="4" t="s">
        <v>115</v>
      </c>
      <c r="I107" s="4"/>
      <c r="J107" s="4"/>
      <c r="K107" s="4">
        <v>207</v>
      </c>
      <c r="L107" s="4">
        <v>21</v>
      </c>
      <c r="M107" s="4">
        <v>3</v>
      </c>
      <c r="N107" s="4" t="s">
        <v>3</v>
      </c>
      <c r="O107" s="4">
        <v>-1</v>
      </c>
      <c r="P107" s="4"/>
      <c r="Q107" s="4"/>
      <c r="R107" s="4"/>
      <c r="S107" s="4"/>
      <c r="T107" s="4"/>
      <c r="U107" s="4"/>
      <c r="V107" s="4"/>
      <c r="W107" s="4"/>
    </row>
    <row r="108" spans="1:23" x14ac:dyDescent="0.2">
      <c r="A108" s="4">
        <v>50</v>
      </c>
      <c r="B108" s="4">
        <v>0</v>
      </c>
      <c r="C108" s="4">
        <v>0</v>
      </c>
      <c r="D108" s="4">
        <v>1</v>
      </c>
      <c r="E108" s="4">
        <v>208</v>
      </c>
      <c r="F108" s="4">
        <f>Source!V85</f>
        <v>0</v>
      </c>
      <c r="G108" s="4" t="s">
        <v>116</v>
      </c>
      <c r="H108" s="4" t="s">
        <v>117</v>
      </c>
      <c r="I108" s="4"/>
      <c r="J108" s="4"/>
      <c r="K108" s="4">
        <v>208</v>
      </c>
      <c r="L108" s="4">
        <v>22</v>
      </c>
      <c r="M108" s="4">
        <v>3</v>
      </c>
      <c r="N108" s="4" t="s">
        <v>3</v>
      </c>
      <c r="O108" s="4">
        <v>-1</v>
      </c>
      <c r="P108" s="4"/>
      <c r="Q108" s="4"/>
      <c r="R108" s="4"/>
      <c r="S108" s="4"/>
      <c r="T108" s="4"/>
      <c r="U108" s="4"/>
      <c r="V108" s="4"/>
      <c r="W108" s="4"/>
    </row>
    <row r="109" spans="1:23" x14ac:dyDescent="0.2">
      <c r="A109" s="4">
        <v>50</v>
      </c>
      <c r="B109" s="4">
        <v>0</v>
      </c>
      <c r="C109" s="4">
        <v>0</v>
      </c>
      <c r="D109" s="4">
        <v>1</v>
      </c>
      <c r="E109" s="4">
        <v>209</v>
      </c>
      <c r="F109" s="4">
        <f>ROUND(Source!W85,O109)</f>
        <v>0</v>
      </c>
      <c r="G109" s="4" t="s">
        <v>118</v>
      </c>
      <c r="H109" s="4" t="s">
        <v>119</v>
      </c>
      <c r="I109" s="4"/>
      <c r="J109" s="4"/>
      <c r="K109" s="4">
        <v>209</v>
      </c>
      <c r="L109" s="4">
        <v>23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/>
    </row>
    <row r="110" spans="1:23" x14ac:dyDescent="0.2">
      <c r="A110" s="4">
        <v>50</v>
      </c>
      <c r="B110" s="4">
        <v>0</v>
      </c>
      <c r="C110" s="4">
        <v>0</v>
      </c>
      <c r="D110" s="4">
        <v>1</v>
      </c>
      <c r="E110" s="4">
        <v>210</v>
      </c>
      <c r="F110" s="4">
        <f>ROUND(Source!X85,O110)</f>
        <v>38817.03</v>
      </c>
      <c r="G110" s="4" t="s">
        <v>120</v>
      </c>
      <c r="H110" s="4" t="s">
        <v>121</v>
      </c>
      <c r="I110" s="4"/>
      <c r="J110" s="4"/>
      <c r="K110" s="4">
        <v>210</v>
      </c>
      <c r="L110" s="4">
        <v>24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/>
    </row>
    <row r="111" spans="1:23" x14ac:dyDescent="0.2">
      <c r="A111" s="4">
        <v>50</v>
      </c>
      <c r="B111" s="4">
        <v>0</v>
      </c>
      <c r="C111" s="4">
        <v>0</v>
      </c>
      <c r="D111" s="4">
        <v>1</v>
      </c>
      <c r="E111" s="4">
        <v>211</v>
      </c>
      <c r="F111" s="4">
        <f>ROUND(Source!Y85,O111)</f>
        <v>19440.240000000002</v>
      </c>
      <c r="G111" s="4" t="s">
        <v>122</v>
      </c>
      <c r="H111" s="4" t="s">
        <v>123</v>
      </c>
      <c r="I111" s="4"/>
      <c r="J111" s="4"/>
      <c r="K111" s="4">
        <v>211</v>
      </c>
      <c r="L111" s="4">
        <v>25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/>
    </row>
    <row r="112" spans="1:23" x14ac:dyDescent="0.2">
      <c r="A112" s="4">
        <v>50</v>
      </c>
      <c r="B112" s="4">
        <v>0</v>
      </c>
      <c r="C112" s="4">
        <v>0</v>
      </c>
      <c r="D112" s="4">
        <v>1</v>
      </c>
      <c r="E112" s="4">
        <v>224</v>
      </c>
      <c r="F112" s="4">
        <f>ROUND(Source!AR85,O112)</f>
        <v>2438697.02</v>
      </c>
      <c r="G112" s="4" t="s">
        <v>124</v>
      </c>
      <c r="H112" s="4" t="s">
        <v>125</v>
      </c>
      <c r="I112" s="4"/>
      <c r="J112" s="4"/>
      <c r="K112" s="4">
        <v>224</v>
      </c>
      <c r="L112" s="4">
        <v>26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/>
    </row>
    <row r="114" spans="1:245" x14ac:dyDescent="0.2">
      <c r="A114" s="1">
        <v>4</v>
      </c>
      <c r="B114" s="1">
        <v>1</v>
      </c>
      <c r="C114" s="1"/>
      <c r="D114" s="1">
        <f>ROW(A130)</f>
        <v>130</v>
      </c>
      <c r="E114" s="1"/>
      <c r="F114" s="1" t="s">
        <v>12</v>
      </c>
      <c r="G114" s="1" t="s">
        <v>164</v>
      </c>
      <c r="H114" s="1" t="s">
        <v>3</v>
      </c>
      <c r="I114" s="1">
        <v>0</v>
      </c>
      <c r="J114" s="1"/>
      <c r="K114" s="1">
        <v>-1</v>
      </c>
      <c r="L114" s="1"/>
      <c r="M114" s="1"/>
      <c r="N114" s="1"/>
      <c r="O114" s="1"/>
      <c r="P114" s="1"/>
      <c r="Q114" s="1"/>
      <c r="R114" s="1"/>
      <c r="S114" s="1"/>
      <c r="T114" s="1"/>
      <c r="U114" s="1" t="s">
        <v>3</v>
      </c>
      <c r="V114" s="1">
        <v>0</v>
      </c>
      <c r="W114" s="1"/>
      <c r="X114" s="1"/>
      <c r="Y114" s="1"/>
      <c r="Z114" s="1"/>
      <c r="AA114" s="1"/>
      <c r="AB114" s="1" t="s">
        <v>3</v>
      </c>
      <c r="AC114" s="1" t="s">
        <v>3</v>
      </c>
      <c r="AD114" s="1" t="s">
        <v>3</v>
      </c>
      <c r="AE114" s="1" t="s">
        <v>3</v>
      </c>
      <c r="AF114" s="1" t="s">
        <v>3</v>
      </c>
      <c r="AG114" s="1" t="s">
        <v>3</v>
      </c>
      <c r="AH114" s="1"/>
      <c r="AI114" s="1"/>
      <c r="AJ114" s="1"/>
      <c r="AK114" s="1"/>
      <c r="AL114" s="1"/>
      <c r="AM114" s="1"/>
      <c r="AN114" s="1"/>
      <c r="AO114" s="1"/>
      <c r="AP114" s="1" t="s">
        <v>3</v>
      </c>
      <c r="AQ114" s="1" t="s">
        <v>3</v>
      </c>
      <c r="AR114" s="1" t="s">
        <v>3</v>
      </c>
      <c r="AS114" s="1"/>
      <c r="AT114" s="1"/>
      <c r="AU114" s="1"/>
      <c r="AV114" s="1"/>
      <c r="AW114" s="1"/>
      <c r="AX114" s="1"/>
      <c r="AY114" s="1"/>
      <c r="AZ114" s="1" t="s">
        <v>3</v>
      </c>
      <c r="BA114" s="1"/>
      <c r="BB114" s="1" t="s">
        <v>3</v>
      </c>
      <c r="BC114" s="1" t="s">
        <v>3</v>
      </c>
      <c r="BD114" s="1" t="s">
        <v>3</v>
      </c>
      <c r="BE114" s="1" t="s">
        <v>3</v>
      </c>
      <c r="BF114" s="1" t="s">
        <v>3</v>
      </c>
      <c r="BG114" s="1" t="s">
        <v>3</v>
      </c>
      <c r="BH114" s="1" t="s">
        <v>3</v>
      </c>
      <c r="BI114" s="1" t="s">
        <v>3</v>
      </c>
      <c r="BJ114" s="1" t="s">
        <v>3</v>
      </c>
      <c r="BK114" s="1" t="s">
        <v>3</v>
      </c>
      <c r="BL114" s="1" t="s">
        <v>3</v>
      </c>
      <c r="BM114" s="1" t="s">
        <v>3</v>
      </c>
      <c r="BN114" s="1" t="s">
        <v>3</v>
      </c>
      <c r="BO114" s="1" t="s">
        <v>3</v>
      </c>
      <c r="BP114" s="1" t="s">
        <v>3</v>
      </c>
      <c r="BQ114" s="1"/>
      <c r="BR114" s="1"/>
      <c r="BS114" s="1"/>
      <c r="BT114" s="1"/>
      <c r="BU114" s="1"/>
      <c r="BV114" s="1"/>
      <c r="BW114" s="1"/>
      <c r="BX114" s="1">
        <v>0</v>
      </c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>
        <v>0</v>
      </c>
    </row>
    <row r="116" spans="1:245" x14ac:dyDescent="0.2">
      <c r="A116" s="2">
        <v>52</v>
      </c>
      <c r="B116" s="2">
        <f t="shared" ref="B116:G116" si="100">B130</f>
        <v>1</v>
      </c>
      <c r="C116" s="2">
        <f t="shared" si="100"/>
        <v>4</v>
      </c>
      <c r="D116" s="2">
        <f t="shared" si="100"/>
        <v>114</v>
      </c>
      <c r="E116" s="2">
        <f t="shared" si="100"/>
        <v>0</v>
      </c>
      <c r="F116" s="2" t="str">
        <f t="shared" si="100"/>
        <v>Новый раздел</v>
      </c>
      <c r="G116" s="2" t="str">
        <f t="shared" si="100"/>
        <v>ТЕПЛОВАЯ КАМЕРА монолитная 3.5х3.5х2,0(h)м   - 1шт</v>
      </c>
      <c r="H116" s="2"/>
      <c r="I116" s="2"/>
      <c r="J116" s="2"/>
      <c r="K116" s="2"/>
      <c r="L116" s="2"/>
      <c r="M116" s="2"/>
      <c r="N116" s="2"/>
      <c r="O116" s="2">
        <f t="shared" ref="O116:AT116" si="101">O130</f>
        <v>390327.51</v>
      </c>
      <c r="P116" s="2">
        <f t="shared" si="101"/>
        <v>366260.94</v>
      </c>
      <c r="Q116" s="2">
        <f t="shared" si="101"/>
        <v>23949.99</v>
      </c>
      <c r="R116" s="2">
        <f t="shared" si="101"/>
        <v>1160.8599999999999</v>
      </c>
      <c r="S116" s="2">
        <f t="shared" si="101"/>
        <v>116.58</v>
      </c>
      <c r="T116" s="2">
        <f t="shared" si="101"/>
        <v>0</v>
      </c>
      <c r="U116" s="2">
        <f t="shared" si="101"/>
        <v>0.53214455999999999</v>
      </c>
      <c r="V116" s="2">
        <f t="shared" si="101"/>
        <v>0</v>
      </c>
      <c r="W116" s="2">
        <f t="shared" si="101"/>
        <v>0</v>
      </c>
      <c r="X116" s="2">
        <f t="shared" si="101"/>
        <v>107.25</v>
      </c>
      <c r="Y116" s="2">
        <f t="shared" si="101"/>
        <v>58.29</v>
      </c>
      <c r="Z116" s="2">
        <f t="shared" si="101"/>
        <v>0</v>
      </c>
      <c r="AA116" s="2">
        <f t="shared" si="101"/>
        <v>0</v>
      </c>
      <c r="AB116" s="2">
        <f t="shared" si="101"/>
        <v>390327.51</v>
      </c>
      <c r="AC116" s="2">
        <f t="shared" si="101"/>
        <v>366260.94</v>
      </c>
      <c r="AD116" s="2">
        <f t="shared" si="101"/>
        <v>23949.99</v>
      </c>
      <c r="AE116" s="2">
        <f t="shared" si="101"/>
        <v>1160.8599999999999</v>
      </c>
      <c r="AF116" s="2">
        <f t="shared" si="101"/>
        <v>116.58</v>
      </c>
      <c r="AG116" s="2">
        <f t="shared" si="101"/>
        <v>0</v>
      </c>
      <c r="AH116" s="2">
        <f t="shared" si="101"/>
        <v>0.53214455999999999</v>
      </c>
      <c r="AI116" s="2">
        <f t="shared" si="101"/>
        <v>0</v>
      </c>
      <c r="AJ116" s="2">
        <f t="shared" si="101"/>
        <v>0</v>
      </c>
      <c r="AK116" s="2">
        <f t="shared" si="101"/>
        <v>107.25</v>
      </c>
      <c r="AL116" s="2">
        <f t="shared" si="101"/>
        <v>58.29</v>
      </c>
      <c r="AM116" s="2">
        <f t="shared" si="101"/>
        <v>0</v>
      </c>
      <c r="AN116" s="2">
        <f t="shared" si="101"/>
        <v>0</v>
      </c>
      <c r="AO116" s="2">
        <f t="shared" si="101"/>
        <v>0</v>
      </c>
      <c r="AP116" s="2">
        <f t="shared" si="101"/>
        <v>0</v>
      </c>
      <c r="AQ116" s="2">
        <f t="shared" si="101"/>
        <v>0</v>
      </c>
      <c r="AR116" s="2">
        <f t="shared" si="101"/>
        <v>798190</v>
      </c>
      <c r="AS116" s="2">
        <f t="shared" si="101"/>
        <v>779868.15</v>
      </c>
      <c r="AT116" s="2">
        <f t="shared" si="101"/>
        <v>0</v>
      </c>
      <c r="AU116" s="2">
        <f t="shared" ref="AU116:BZ116" si="102">AU130</f>
        <v>21338.44</v>
      </c>
      <c r="AV116" s="2">
        <f t="shared" si="102"/>
        <v>366260.94</v>
      </c>
      <c r="AW116" s="2">
        <f t="shared" si="102"/>
        <v>366260.94</v>
      </c>
      <c r="AX116" s="2">
        <f t="shared" si="102"/>
        <v>0</v>
      </c>
      <c r="AY116" s="2">
        <f t="shared" si="102"/>
        <v>366260.94</v>
      </c>
      <c r="AZ116" s="2">
        <f t="shared" si="102"/>
        <v>0</v>
      </c>
      <c r="BA116" s="2">
        <f t="shared" si="102"/>
        <v>-3016.59</v>
      </c>
      <c r="BB116" s="2">
        <f t="shared" si="102"/>
        <v>100428.25</v>
      </c>
      <c r="BC116" s="2">
        <f t="shared" si="102"/>
        <v>308462.74</v>
      </c>
      <c r="BD116" s="2">
        <f t="shared" si="102"/>
        <v>0</v>
      </c>
      <c r="BE116" s="2">
        <f t="shared" si="102"/>
        <v>0</v>
      </c>
      <c r="BF116" s="2">
        <f t="shared" si="102"/>
        <v>0</v>
      </c>
      <c r="BG116" s="2">
        <f t="shared" si="102"/>
        <v>0</v>
      </c>
      <c r="BH116" s="2">
        <f t="shared" si="102"/>
        <v>0</v>
      </c>
      <c r="BI116" s="2">
        <f t="shared" si="102"/>
        <v>0</v>
      </c>
      <c r="BJ116" s="2">
        <f t="shared" si="102"/>
        <v>0</v>
      </c>
      <c r="BK116" s="2">
        <f t="shared" si="102"/>
        <v>0</v>
      </c>
      <c r="BL116" s="2">
        <f t="shared" si="102"/>
        <v>0</v>
      </c>
      <c r="BM116" s="2">
        <f t="shared" si="102"/>
        <v>0</v>
      </c>
      <c r="BN116" s="2">
        <f t="shared" si="102"/>
        <v>0</v>
      </c>
      <c r="BO116" s="2">
        <f t="shared" si="102"/>
        <v>0</v>
      </c>
      <c r="BP116" s="2">
        <f t="shared" si="102"/>
        <v>0</v>
      </c>
      <c r="BQ116" s="2">
        <f t="shared" si="102"/>
        <v>0</v>
      </c>
      <c r="BR116" s="2">
        <f t="shared" si="102"/>
        <v>0</v>
      </c>
      <c r="BS116" s="2">
        <f t="shared" si="102"/>
        <v>0</v>
      </c>
      <c r="BT116" s="2">
        <f t="shared" si="102"/>
        <v>0</v>
      </c>
      <c r="BU116" s="2">
        <f t="shared" si="102"/>
        <v>0</v>
      </c>
      <c r="BV116" s="2">
        <f t="shared" si="102"/>
        <v>0</v>
      </c>
      <c r="BW116" s="2">
        <f t="shared" si="102"/>
        <v>0</v>
      </c>
      <c r="BX116" s="2">
        <f t="shared" si="102"/>
        <v>0</v>
      </c>
      <c r="BY116" s="2">
        <f t="shared" si="102"/>
        <v>0</v>
      </c>
      <c r="BZ116" s="2">
        <f t="shared" si="102"/>
        <v>0</v>
      </c>
      <c r="CA116" s="2">
        <f t="shared" ref="CA116:DF116" si="103">CA130</f>
        <v>798190</v>
      </c>
      <c r="CB116" s="2">
        <f t="shared" si="103"/>
        <v>779868.15</v>
      </c>
      <c r="CC116" s="2">
        <f t="shared" si="103"/>
        <v>0</v>
      </c>
      <c r="CD116" s="2">
        <f t="shared" si="103"/>
        <v>21338.44</v>
      </c>
      <c r="CE116" s="2">
        <f t="shared" si="103"/>
        <v>366260.94</v>
      </c>
      <c r="CF116" s="2">
        <f t="shared" si="103"/>
        <v>366260.94</v>
      </c>
      <c r="CG116" s="2">
        <f t="shared" si="103"/>
        <v>0</v>
      </c>
      <c r="CH116" s="2">
        <f t="shared" si="103"/>
        <v>366260.94</v>
      </c>
      <c r="CI116" s="2">
        <f t="shared" si="103"/>
        <v>0</v>
      </c>
      <c r="CJ116" s="2">
        <f t="shared" si="103"/>
        <v>-3016.59</v>
      </c>
      <c r="CK116" s="2">
        <f t="shared" si="103"/>
        <v>100428.25</v>
      </c>
      <c r="CL116" s="2">
        <f t="shared" si="103"/>
        <v>308462.74</v>
      </c>
      <c r="CM116" s="2">
        <f t="shared" si="103"/>
        <v>0</v>
      </c>
      <c r="CN116" s="2">
        <f t="shared" si="103"/>
        <v>0</v>
      </c>
      <c r="CO116" s="2">
        <f t="shared" si="103"/>
        <v>0</v>
      </c>
      <c r="CP116" s="2">
        <f t="shared" si="103"/>
        <v>0</v>
      </c>
      <c r="CQ116" s="2">
        <f t="shared" si="103"/>
        <v>0</v>
      </c>
      <c r="CR116" s="2">
        <f t="shared" si="103"/>
        <v>0</v>
      </c>
      <c r="CS116" s="2">
        <f t="shared" si="103"/>
        <v>0</v>
      </c>
      <c r="CT116" s="2">
        <f t="shared" si="103"/>
        <v>0</v>
      </c>
      <c r="CU116" s="2">
        <f t="shared" si="103"/>
        <v>0</v>
      </c>
      <c r="CV116" s="2">
        <f t="shared" si="103"/>
        <v>0</v>
      </c>
      <c r="CW116" s="2">
        <f t="shared" si="103"/>
        <v>0</v>
      </c>
      <c r="CX116" s="2">
        <f t="shared" si="103"/>
        <v>0</v>
      </c>
      <c r="CY116" s="2">
        <f t="shared" si="103"/>
        <v>0</v>
      </c>
      <c r="CZ116" s="2">
        <f t="shared" si="103"/>
        <v>0</v>
      </c>
      <c r="DA116" s="2">
        <f t="shared" si="103"/>
        <v>0</v>
      </c>
      <c r="DB116" s="2">
        <f t="shared" si="103"/>
        <v>0</v>
      </c>
      <c r="DC116" s="2">
        <f t="shared" si="103"/>
        <v>0</v>
      </c>
      <c r="DD116" s="2">
        <f t="shared" si="103"/>
        <v>0</v>
      </c>
      <c r="DE116" s="2">
        <f t="shared" si="103"/>
        <v>0</v>
      </c>
      <c r="DF116" s="2">
        <f t="shared" si="103"/>
        <v>0</v>
      </c>
      <c r="DG116" s="3">
        <f t="shared" ref="DG116:EL116" si="104">DG130</f>
        <v>0</v>
      </c>
      <c r="DH116" s="3">
        <f t="shared" si="104"/>
        <v>0</v>
      </c>
      <c r="DI116" s="3">
        <f t="shared" si="104"/>
        <v>0</v>
      </c>
      <c r="DJ116" s="3">
        <f t="shared" si="104"/>
        <v>0</v>
      </c>
      <c r="DK116" s="3">
        <f t="shared" si="104"/>
        <v>0</v>
      </c>
      <c r="DL116" s="3">
        <f t="shared" si="104"/>
        <v>0</v>
      </c>
      <c r="DM116" s="3">
        <f t="shared" si="104"/>
        <v>0</v>
      </c>
      <c r="DN116" s="3">
        <f t="shared" si="104"/>
        <v>0</v>
      </c>
      <c r="DO116" s="3">
        <f t="shared" si="104"/>
        <v>0</v>
      </c>
      <c r="DP116" s="3">
        <f t="shared" si="104"/>
        <v>0</v>
      </c>
      <c r="DQ116" s="3">
        <f t="shared" si="104"/>
        <v>0</v>
      </c>
      <c r="DR116" s="3">
        <f t="shared" si="104"/>
        <v>0</v>
      </c>
      <c r="DS116" s="3">
        <f t="shared" si="104"/>
        <v>0</v>
      </c>
      <c r="DT116" s="3">
        <f t="shared" si="104"/>
        <v>0</v>
      </c>
      <c r="DU116" s="3">
        <f t="shared" si="104"/>
        <v>0</v>
      </c>
      <c r="DV116" s="3">
        <f t="shared" si="104"/>
        <v>0</v>
      </c>
      <c r="DW116" s="3">
        <f t="shared" si="104"/>
        <v>0</v>
      </c>
      <c r="DX116" s="3">
        <f t="shared" si="104"/>
        <v>0</v>
      </c>
      <c r="DY116" s="3">
        <f t="shared" si="104"/>
        <v>0</v>
      </c>
      <c r="DZ116" s="3">
        <f t="shared" si="104"/>
        <v>0</v>
      </c>
      <c r="EA116" s="3">
        <f t="shared" si="104"/>
        <v>0</v>
      </c>
      <c r="EB116" s="3">
        <f t="shared" si="104"/>
        <v>0</v>
      </c>
      <c r="EC116" s="3">
        <f t="shared" si="104"/>
        <v>0</v>
      </c>
      <c r="ED116" s="3">
        <f t="shared" si="104"/>
        <v>0</v>
      </c>
      <c r="EE116" s="3">
        <f t="shared" si="104"/>
        <v>0</v>
      </c>
      <c r="EF116" s="3">
        <f t="shared" si="104"/>
        <v>0</v>
      </c>
      <c r="EG116" s="3">
        <f t="shared" si="104"/>
        <v>0</v>
      </c>
      <c r="EH116" s="3">
        <f t="shared" si="104"/>
        <v>0</v>
      </c>
      <c r="EI116" s="3">
        <f t="shared" si="104"/>
        <v>0</v>
      </c>
      <c r="EJ116" s="3">
        <f t="shared" si="104"/>
        <v>0</v>
      </c>
      <c r="EK116" s="3">
        <f t="shared" si="104"/>
        <v>0</v>
      </c>
      <c r="EL116" s="3">
        <f t="shared" si="104"/>
        <v>0</v>
      </c>
      <c r="EM116" s="3">
        <f t="shared" ref="EM116:FR116" si="105">EM130</f>
        <v>0</v>
      </c>
      <c r="EN116" s="3">
        <f t="shared" si="105"/>
        <v>0</v>
      </c>
      <c r="EO116" s="3">
        <f t="shared" si="105"/>
        <v>0</v>
      </c>
      <c r="EP116" s="3">
        <f t="shared" si="105"/>
        <v>0</v>
      </c>
      <c r="EQ116" s="3">
        <f t="shared" si="105"/>
        <v>0</v>
      </c>
      <c r="ER116" s="3">
        <f t="shared" si="105"/>
        <v>0</v>
      </c>
      <c r="ES116" s="3">
        <f t="shared" si="105"/>
        <v>0</v>
      </c>
      <c r="ET116" s="3">
        <f t="shared" si="105"/>
        <v>0</v>
      </c>
      <c r="EU116" s="3">
        <f t="shared" si="105"/>
        <v>0</v>
      </c>
      <c r="EV116" s="3">
        <f t="shared" si="105"/>
        <v>0</v>
      </c>
      <c r="EW116" s="3">
        <f t="shared" si="105"/>
        <v>0</v>
      </c>
      <c r="EX116" s="3">
        <f t="shared" si="105"/>
        <v>0</v>
      </c>
      <c r="EY116" s="3">
        <f t="shared" si="105"/>
        <v>0</v>
      </c>
      <c r="EZ116" s="3">
        <f t="shared" si="105"/>
        <v>0</v>
      </c>
      <c r="FA116" s="3">
        <f t="shared" si="105"/>
        <v>0</v>
      </c>
      <c r="FB116" s="3">
        <f t="shared" si="105"/>
        <v>0</v>
      </c>
      <c r="FC116" s="3">
        <f t="shared" si="105"/>
        <v>0</v>
      </c>
      <c r="FD116" s="3">
        <f t="shared" si="105"/>
        <v>0</v>
      </c>
      <c r="FE116" s="3">
        <f t="shared" si="105"/>
        <v>0</v>
      </c>
      <c r="FF116" s="3">
        <f t="shared" si="105"/>
        <v>0</v>
      </c>
      <c r="FG116" s="3">
        <f t="shared" si="105"/>
        <v>0</v>
      </c>
      <c r="FH116" s="3">
        <f t="shared" si="105"/>
        <v>0</v>
      </c>
      <c r="FI116" s="3">
        <f t="shared" si="105"/>
        <v>0</v>
      </c>
      <c r="FJ116" s="3">
        <f t="shared" si="105"/>
        <v>0</v>
      </c>
      <c r="FK116" s="3">
        <f t="shared" si="105"/>
        <v>0</v>
      </c>
      <c r="FL116" s="3">
        <f t="shared" si="105"/>
        <v>0</v>
      </c>
      <c r="FM116" s="3">
        <f t="shared" si="105"/>
        <v>0</v>
      </c>
      <c r="FN116" s="3">
        <f t="shared" si="105"/>
        <v>0</v>
      </c>
      <c r="FO116" s="3">
        <f t="shared" si="105"/>
        <v>0</v>
      </c>
      <c r="FP116" s="3">
        <f t="shared" si="105"/>
        <v>0</v>
      </c>
      <c r="FQ116" s="3">
        <f t="shared" si="105"/>
        <v>0</v>
      </c>
      <c r="FR116" s="3">
        <f t="shared" si="105"/>
        <v>0</v>
      </c>
      <c r="FS116" s="3">
        <f t="shared" ref="FS116:GX116" si="106">FS130</f>
        <v>0</v>
      </c>
      <c r="FT116" s="3">
        <f t="shared" si="106"/>
        <v>0</v>
      </c>
      <c r="FU116" s="3">
        <f t="shared" si="106"/>
        <v>0</v>
      </c>
      <c r="FV116" s="3">
        <f t="shared" si="106"/>
        <v>0</v>
      </c>
      <c r="FW116" s="3">
        <f t="shared" si="106"/>
        <v>0</v>
      </c>
      <c r="FX116" s="3">
        <f t="shared" si="106"/>
        <v>0</v>
      </c>
      <c r="FY116" s="3">
        <f t="shared" si="106"/>
        <v>0</v>
      </c>
      <c r="FZ116" s="3">
        <f t="shared" si="106"/>
        <v>0</v>
      </c>
      <c r="GA116" s="3">
        <f t="shared" si="106"/>
        <v>0</v>
      </c>
      <c r="GB116" s="3">
        <f t="shared" si="106"/>
        <v>0</v>
      </c>
      <c r="GC116" s="3">
        <f t="shared" si="106"/>
        <v>0</v>
      </c>
      <c r="GD116" s="3">
        <f t="shared" si="106"/>
        <v>0</v>
      </c>
      <c r="GE116" s="3">
        <f t="shared" si="106"/>
        <v>0</v>
      </c>
      <c r="GF116" s="3">
        <f t="shared" si="106"/>
        <v>0</v>
      </c>
      <c r="GG116" s="3">
        <f t="shared" si="106"/>
        <v>0</v>
      </c>
      <c r="GH116" s="3">
        <f t="shared" si="106"/>
        <v>0</v>
      </c>
      <c r="GI116" s="3">
        <f t="shared" si="106"/>
        <v>0</v>
      </c>
      <c r="GJ116" s="3">
        <f t="shared" si="106"/>
        <v>0</v>
      </c>
      <c r="GK116" s="3">
        <f t="shared" si="106"/>
        <v>0</v>
      </c>
      <c r="GL116" s="3">
        <f t="shared" si="106"/>
        <v>0</v>
      </c>
      <c r="GM116" s="3">
        <f t="shared" si="106"/>
        <v>0</v>
      </c>
      <c r="GN116" s="3">
        <f t="shared" si="106"/>
        <v>0</v>
      </c>
      <c r="GO116" s="3">
        <f t="shared" si="106"/>
        <v>0</v>
      </c>
      <c r="GP116" s="3">
        <f t="shared" si="106"/>
        <v>0</v>
      </c>
      <c r="GQ116" s="3">
        <f t="shared" si="106"/>
        <v>0</v>
      </c>
      <c r="GR116" s="3">
        <f t="shared" si="106"/>
        <v>0</v>
      </c>
      <c r="GS116" s="3">
        <f t="shared" si="106"/>
        <v>0</v>
      </c>
      <c r="GT116" s="3">
        <f t="shared" si="106"/>
        <v>0</v>
      </c>
      <c r="GU116" s="3">
        <f t="shared" si="106"/>
        <v>0</v>
      </c>
      <c r="GV116" s="3">
        <f t="shared" si="106"/>
        <v>0</v>
      </c>
      <c r="GW116" s="3">
        <f t="shared" si="106"/>
        <v>0</v>
      </c>
      <c r="GX116" s="3">
        <f t="shared" si="106"/>
        <v>0</v>
      </c>
    </row>
    <row r="118" spans="1:245" x14ac:dyDescent="0.2">
      <c r="A118">
        <v>17</v>
      </c>
      <c r="B118">
        <v>1</v>
      </c>
      <c r="C118">
        <f>ROW(SmtRes!A38)</f>
        <v>38</v>
      </c>
      <c r="D118">
        <f>ROW(EtalonRes!A36)</f>
        <v>36</v>
      </c>
      <c r="E118" t="s">
        <v>165</v>
      </c>
      <c r="F118" t="s">
        <v>166</v>
      </c>
      <c r="G118" t="s">
        <v>167</v>
      </c>
      <c r="H118" t="s">
        <v>168</v>
      </c>
      <c r="I118">
        <v>1</v>
      </c>
      <c r="J118">
        <v>0</v>
      </c>
      <c r="O118">
        <f t="shared" ref="O118:O128" si="107">ROUND(CP118,2)</f>
        <v>184590.62</v>
      </c>
      <c r="P118">
        <f t="shared" ref="P118:P128" si="108">ROUND((ROUND((AC118*AW118*I118),2)*BC118),2)</f>
        <v>184590.62</v>
      </c>
      <c r="Q118">
        <f>0</f>
        <v>0</v>
      </c>
      <c r="R118">
        <f t="shared" ref="R118:R128" si="109">ROUND((ROUND((AE118*AV118*I118),2)*BS118),2)</f>
        <v>0</v>
      </c>
      <c r="S118">
        <f>0</f>
        <v>0</v>
      </c>
      <c r="T118">
        <f t="shared" ref="T118:T128" si="110">ROUND(CU118*I118,2)</f>
        <v>0</v>
      </c>
      <c r="U118">
        <f t="shared" ref="U118:U128" si="111">CV118*I118</f>
        <v>0</v>
      </c>
      <c r="V118">
        <f t="shared" ref="V118:V128" si="112">CW118*I118</f>
        <v>0</v>
      </c>
      <c r="W118">
        <f t="shared" ref="W118:W128" si="113">ROUND(CX118*I118,2)</f>
        <v>0</v>
      </c>
      <c r="X118">
        <f t="shared" ref="X118:X128" si="114">ROUND(CY118,2)</f>
        <v>0</v>
      </c>
      <c r="Y118">
        <f t="shared" ref="Y118:Y128" si="115">ROUND(CZ118,2)</f>
        <v>0</v>
      </c>
      <c r="AA118">
        <v>309315610</v>
      </c>
      <c r="AB118">
        <f>ROUND((AC118+0+0),6)</f>
        <v>29487.314999999999</v>
      </c>
      <c r="AC118">
        <f>ROUND(((ES118*0.767)),6)</f>
        <v>29487.314999999999</v>
      </c>
      <c r="AD118">
        <f>ROUND(((((ET118*1.15*0.767))-((EU118*1.15*0.767)))+AE118),6)</f>
        <v>1774.6846</v>
      </c>
      <c r="AE118">
        <f>ROUND(((EU118*1.15*0.767)),6)</f>
        <v>0</v>
      </c>
      <c r="AF118">
        <f>ROUND(((EV118*1.15*0.767)),6)</f>
        <v>5240.2590499999997</v>
      </c>
      <c r="AG118">
        <f t="shared" ref="AG118:AG128" si="116">ROUND((AP118),6)</f>
        <v>0</v>
      </c>
      <c r="AH118">
        <f>((EW118*1.15*0.767))</f>
        <v>0</v>
      </c>
      <c r="AI118">
        <f>((EX118*1.15*0.767))</f>
        <v>0</v>
      </c>
      <c r="AJ118">
        <f t="shared" ref="AJ118:AJ128" si="117">(AS118)</f>
        <v>0</v>
      </c>
      <c r="AK118">
        <v>45877</v>
      </c>
      <c r="AL118">
        <v>38445</v>
      </c>
      <c r="AM118">
        <v>2012</v>
      </c>
      <c r="AN118">
        <v>0</v>
      </c>
      <c r="AO118">
        <v>5941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1</v>
      </c>
      <c r="AW118">
        <v>1</v>
      </c>
      <c r="AZ118">
        <v>1</v>
      </c>
      <c r="BA118">
        <v>19.079999999999998</v>
      </c>
      <c r="BB118">
        <v>11.44</v>
      </c>
      <c r="BC118">
        <v>6.26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1</v>
      </c>
      <c r="BJ118" t="s">
        <v>169</v>
      </c>
      <c r="BM118">
        <v>1114</v>
      </c>
      <c r="BN118">
        <v>0</v>
      </c>
      <c r="BO118" t="s">
        <v>166</v>
      </c>
      <c r="BP118">
        <v>1</v>
      </c>
      <c r="BQ118">
        <v>160</v>
      </c>
      <c r="BR118">
        <v>0</v>
      </c>
      <c r="BS118">
        <v>19.079999999999998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0</v>
      </c>
      <c r="CA118">
        <v>0</v>
      </c>
      <c r="CE118">
        <v>30</v>
      </c>
      <c r="CF118">
        <v>0</v>
      </c>
      <c r="CG118">
        <v>0</v>
      </c>
      <c r="CM118">
        <v>0</v>
      </c>
      <c r="CN118" t="s">
        <v>170</v>
      </c>
      <c r="CO118">
        <v>0</v>
      </c>
      <c r="CP118">
        <f t="shared" ref="CP118:CP128" si="118">(P118+Q118+S118)</f>
        <v>184590.62</v>
      </c>
      <c r="CQ118">
        <f t="shared" ref="CQ118:CQ128" si="119">ROUND((ROUND((AC118*AW118*1),2)*BC118),2)</f>
        <v>184590.62</v>
      </c>
      <c r="CR118">
        <f>(ROUND((ROUND((((ET118*1.15*0.767))*AV118*1),2)*BB118),2)+ROUND((ROUND(((AE118-((EU118*1.15*0.767)))*AV118*1),2)*BS118),2))</f>
        <v>20302.34</v>
      </c>
      <c r="CS118">
        <f t="shared" ref="CS118:CS128" si="120">ROUND((ROUND((AE118*AV118*1),2)*BS118),2)</f>
        <v>0</v>
      </c>
      <c r="CT118">
        <f t="shared" ref="CT118:CT128" si="121">ROUND((ROUND((AF118*AV118*1),2)*BA118),2)</f>
        <v>99984.16</v>
      </c>
      <c r="CU118">
        <f t="shared" ref="CU118:CU128" si="122">AG118</f>
        <v>0</v>
      </c>
      <c r="CV118">
        <f t="shared" ref="CV118:CV128" si="123">(AH118*AV118)</f>
        <v>0</v>
      </c>
      <c r="CW118">
        <f t="shared" ref="CW118:CW128" si="124">AI118</f>
        <v>0</v>
      </c>
      <c r="CX118">
        <f t="shared" ref="CX118:CX128" si="125">AJ118</f>
        <v>0</v>
      </c>
      <c r="CY118">
        <f t="shared" ref="CY118:CY128" si="126">S118*(BZ118/100)</f>
        <v>0</v>
      </c>
      <c r="CZ118">
        <f t="shared" ref="CZ118:CZ128" si="127">S118*(CA118/100)</f>
        <v>0</v>
      </c>
      <c r="DC118" t="s">
        <v>3</v>
      </c>
      <c r="DD118" t="s">
        <v>171</v>
      </c>
      <c r="DE118" t="s">
        <v>172</v>
      </c>
      <c r="DF118" t="s">
        <v>172</v>
      </c>
      <c r="DG118" t="s">
        <v>172</v>
      </c>
      <c r="DH118" t="s">
        <v>3</v>
      </c>
      <c r="DI118" t="s">
        <v>172</v>
      </c>
      <c r="DJ118" t="s">
        <v>172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168</v>
      </c>
      <c r="DW118" t="s">
        <v>168</v>
      </c>
      <c r="DX118">
        <v>1</v>
      </c>
      <c r="EE118">
        <v>298189190</v>
      </c>
      <c r="EF118">
        <v>160</v>
      </c>
      <c r="EG118" t="s">
        <v>23</v>
      </c>
      <c r="EH118">
        <v>0</v>
      </c>
      <c r="EI118" t="s">
        <v>3</v>
      </c>
      <c r="EJ118">
        <v>1</v>
      </c>
      <c r="EK118">
        <v>1114</v>
      </c>
      <c r="EL118" t="s">
        <v>24</v>
      </c>
      <c r="EM118" t="s">
        <v>25</v>
      </c>
      <c r="EO118" t="s">
        <v>3</v>
      </c>
      <c r="EQ118">
        <v>0</v>
      </c>
      <c r="ER118">
        <v>45877</v>
      </c>
      <c r="ES118">
        <v>38445</v>
      </c>
      <c r="ET118">
        <v>2012</v>
      </c>
      <c r="EU118">
        <v>0</v>
      </c>
      <c r="EV118">
        <v>5941</v>
      </c>
      <c r="EW118">
        <v>0</v>
      </c>
      <c r="EX118">
        <v>0</v>
      </c>
      <c r="EY118">
        <v>1</v>
      </c>
      <c r="FQ118">
        <v>0</v>
      </c>
      <c r="FR118">
        <f t="shared" ref="FR118:FR128" si="128">ROUND(IF(AND(BH118=3,BI118=3),P118,0),2)</f>
        <v>0</v>
      </c>
      <c r="FS118">
        <v>0</v>
      </c>
      <c r="FX118">
        <v>0</v>
      </c>
      <c r="FY118">
        <v>0</v>
      </c>
      <c r="GA118" t="s">
        <v>3</v>
      </c>
      <c r="GD118">
        <v>1</v>
      </c>
      <c r="GF118">
        <v>-1203836338</v>
      </c>
      <c r="GG118">
        <v>2</v>
      </c>
      <c r="GH118">
        <v>1</v>
      </c>
      <c r="GI118">
        <v>2</v>
      </c>
      <c r="GJ118">
        <v>3</v>
      </c>
      <c r="GK118">
        <v>0</v>
      </c>
      <c r="GL118">
        <f t="shared" ref="GL118:GL128" si="129">ROUND(IF(AND(BH118=3,BI118=3,FS118&lt;&gt;0),P118,0),2)</f>
        <v>0</v>
      </c>
      <c r="GM118">
        <f>ROUND(P118+GY118+GZ118,2)+GX118</f>
        <v>301860.52999999997</v>
      </c>
      <c r="GN118">
        <f>IF(OR(BI118=0,BI118=1),ROUND(P118+GY118+GZ118,2),0)</f>
        <v>304877.12</v>
      </c>
      <c r="GO118">
        <f>IF(BI118=2,ROUND(P118+GY118+GZ118,2),0)</f>
        <v>0</v>
      </c>
      <c r="GP118">
        <f>IF(BI118=4,ROUND(P118+GY118+GZ118,2)+GX118,0)</f>
        <v>0</v>
      </c>
      <c r="GR118">
        <v>0</v>
      </c>
      <c r="GS118">
        <v>3</v>
      </c>
      <c r="GT118">
        <v>-521</v>
      </c>
      <c r="GU118" t="s">
        <v>3</v>
      </c>
      <c r="GV118">
        <f t="shared" ref="GV118:GV128" si="130">ROUND((GT118),6)</f>
        <v>-521</v>
      </c>
      <c r="GW118">
        <v>5.79</v>
      </c>
      <c r="GX118">
        <f t="shared" ref="GX118:GX128" si="131">ROUND(HC118*I118,2)</f>
        <v>-3016.59</v>
      </c>
      <c r="GY118">
        <f>(ROUND((ROUND((((ET118*1.15*0.767))*AV118*I118),2)*BB118),2)+ROUND((ROUND(((AE118-((EU118*1.15*0.767)))*AV118*I118),2)*BS118),2))</f>
        <v>20302.34</v>
      </c>
      <c r="GZ118">
        <f>ROUND((ROUND((AF118*AV118*I118),2)*BA118),2)</f>
        <v>99984.16</v>
      </c>
      <c r="HA118">
        <v>23.93</v>
      </c>
      <c r="HB118">
        <v>0.33600000000000002</v>
      </c>
      <c r="HC118">
        <f t="shared" ref="HC118:HC128" si="132">GV118*GW118</f>
        <v>-3016.59</v>
      </c>
      <c r="IK118">
        <v>0</v>
      </c>
    </row>
    <row r="119" spans="1:245" x14ac:dyDescent="0.2">
      <c r="A119">
        <v>18</v>
      </c>
      <c r="B119">
        <v>1</v>
      </c>
      <c r="C119">
        <v>37</v>
      </c>
      <c r="E119" t="s">
        <v>173</v>
      </c>
      <c r="F119" t="s">
        <v>27</v>
      </c>
      <c r="G119" t="s">
        <v>28</v>
      </c>
      <c r="H119" t="s">
        <v>29</v>
      </c>
      <c r="I119">
        <f>I118*J119</f>
        <v>0.257712</v>
      </c>
      <c r="J119">
        <v>0.257712</v>
      </c>
      <c r="O119">
        <f t="shared" si="107"/>
        <v>0</v>
      </c>
      <c r="P119">
        <f t="shared" si="108"/>
        <v>0</v>
      </c>
      <c r="Q119">
        <f>(ROUND((ROUND(((ET119)*AV119*I119),2)*BB119),2)+ROUND((ROUND(((AE119-(EU119))*AV119*I119),2)*BS119),2))</f>
        <v>0</v>
      </c>
      <c r="R119">
        <f t="shared" si="109"/>
        <v>0</v>
      </c>
      <c r="S119">
        <f>ROUND((ROUND((AF119*AV119*I119),2)*BA119),2)</f>
        <v>0</v>
      </c>
      <c r="T119">
        <f t="shared" si="110"/>
        <v>0</v>
      </c>
      <c r="U119">
        <f t="shared" si="111"/>
        <v>0</v>
      </c>
      <c r="V119">
        <f t="shared" si="112"/>
        <v>0</v>
      </c>
      <c r="W119">
        <f t="shared" si="113"/>
        <v>0</v>
      </c>
      <c r="X119">
        <f t="shared" si="114"/>
        <v>0</v>
      </c>
      <c r="Y119">
        <f t="shared" si="115"/>
        <v>0</v>
      </c>
      <c r="AA119">
        <v>309315610</v>
      </c>
      <c r="AB119">
        <f>ROUND((AC119+AD119+AF119),6)</f>
        <v>0</v>
      </c>
      <c r="AC119">
        <f t="shared" ref="AC119:AC128" si="133">ROUND((ES119),6)</f>
        <v>0</v>
      </c>
      <c r="AD119">
        <f>ROUND((((ET119)-(EU119))+AE119),6)</f>
        <v>0</v>
      </c>
      <c r="AE119">
        <f>ROUND((EU119),6)</f>
        <v>0</v>
      </c>
      <c r="AF119">
        <f>ROUND((EV119),6)</f>
        <v>0</v>
      </c>
      <c r="AG119">
        <f t="shared" si="116"/>
        <v>0</v>
      </c>
      <c r="AH119">
        <f>(EW119)</f>
        <v>0</v>
      </c>
      <c r="AI119">
        <f>(EX119)</f>
        <v>0</v>
      </c>
      <c r="AJ119">
        <f t="shared" si="117"/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3</v>
      </c>
      <c r="BI119">
        <v>1</v>
      </c>
      <c r="BJ119" t="s">
        <v>3</v>
      </c>
      <c r="BM119">
        <v>1114</v>
      </c>
      <c r="BN119">
        <v>0</v>
      </c>
      <c r="BO119" t="s">
        <v>3</v>
      </c>
      <c r="BP119">
        <v>0</v>
      </c>
      <c r="BQ119">
        <v>160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0</v>
      </c>
      <c r="CA119">
        <v>0</v>
      </c>
      <c r="CE119">
        <v>30</v>
      </c>
      <c r="CF119">
        <v>0</v>
      </c>
      <c r="CG119">
        <v>0</v>
      </c>
      <c r="CM119">
        <v>0</v>
      </c>
      <c r="CN119" t="s">
        <v>170</v>
      </c>
      <c r="CO119">
        <v>0</v>
      </c>
      <c r="CP119">
        <f t="shared" si="118"/>
        <v>0</v>
      </c>
      <c r="CQ119">
        <f t="shared" si="119"/>
        <v>0</v>
      </c>
      <c r="CR119">
        <f>(ROUND((ROUND(((ET119)*AV119*1),2)*BB119),2)+ROUND((ROUND(((AE119-(EU119))*AV119*1),2)*BS119),2))</f>
        <v>0</v>
      </c>
      <c r="CS119">
        <f t="shared" si="120"/>
        <v>0</v>
      </c>
      <c r="CT119">
        <f t="shared" si="121"/>
        <v>0</v>
      </c>
      <c r="CU119">
        <f t="shared" si="122"/>
        <v>0</v>
      </c>
      <c r="CV119">
        <f t="shared" si="123"/>
        <v>0</v>
      </c>
      <c r="CW119">
        <f t="shared" si="124"/>
        <v>0</v>
      </c>
      <c r="CX119">
        <f t="shared" si="125"/>
        <v>0</v>
      </c>
      <c r="CY119">
        <f t="shared" si="126"/>
        <v>0</v>
      </c>
      <c r="CZ119">
        <f t="shared" si="127"/>
        <v>0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1009</v>
      </c>
      <c r="DV119" t="s">
        <v>29</v>
      </c>
      <c r="DW119" t="s">
        <v>29</v>
      </c>
      <c r="DX119">
        <v>1000</v>
      </c>
      <c r="EE119">
        <v>298189190</v>
      </c>
      <c r="EF119">
        <v>160</v>
      </c>
      <c r="EG119" t="s">
        <v>23</v>
      </c>
      <c r="EH119">
        <v>0</v>
      </c>
      <c r="EI119" t="s">
        <v>3</v>
      </c>
      <c r="EJ119">
        <v>1</v>
      </c>
      <c r="EK119">
        <v>1114</v>
      </c>
      <c r="EL119" t="s">
        <v>24</v>
      </c>
      <c r="EM119" t="s">
        <v>25</v>
      </c>
      <c r="EO119" t="s">
        <v>3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FQ119">
        <v>0</v>
      </c>
      <c r="FR119">
        <f t="shared" si="128"/>
        <v>0</v>
      </c>
      <c r="FS119">
        <v>0</v>
      </c>
      <c r="FX119">
        <v>0</v>
      </c>
      <c r="FY119">
        <v>0</v>
      </c>
      <c r="GA119" t="s">
        <v>3</v>
      </c>
      <c r="GD119">
        <v>0</v>
      </c>
      <c r="GF119">
        <v>1489638031</v>
      </c>
      <c r="GG119">
        <v>2</v>
      </c>
      <c r="GH119">
        <v>1</v>
      </c>
      <c r="GI119">
        <v>-2</v>
      </c>
      <c r="GJ119">
        <v>0</v>
      </c>
      <c r="GK119">
        <f>ROUND(R119*(R12)/100,2)</f>
        <v>0</v>
      </c>
      <c r="GL119">
        <f t="shared" si="129"/>
        <v>0</v>
      </c>
      <c r="GM119">
        <f>ROUND(O119+X119+Y119+GK119,2)+GX119</f>
        <v>0</v>
      </c>
      <c r="GN119">
        <f>IF(OR(BI119=0,BI119=1),ROUND(O119+X119+Y119+GK119,2),0)</f>
        <v>0</v>
      </c>
      <c r="GO119">
        <f>IF(BI119=2,ROUND(O119+X119+Y119+GK119,2),0)</f>
        <v>0</v>
      </c>
      <c r="GP119">
        <f>IF(BI119=4,ROUND(O119+X119+Y119+GK119,2)+GX119,0)</f>
        <v>0</v>
      </c>
      <c r="GR119">
        <v>0</v>
      </c>
      <c r="GS119">
        <v>3</v>
      </c>
      <c r="GT119">
        <v>0</v>
      </c>
      <c r="GU119" t="s">
        <v>3</v>
      </c>
      <c r="GV119">
        <f t="shared" si="130"/>
        <v>0</v>
      </c>
      <c r="GW119">
        <v>1</v>
      </c>
      <c r="GX119">
        <f t="shared" si="131"/>
        <v>0</v>
      </c>
      <c r="HA119">
        <v>0</v>
      </c>
      <c r="HB119">
        <v>0</v>
      </c>
      <c r="HC119">
        <f t="shared" si="132"/>
        <v>0</v>
      </c>
      <c r="IK119">
        <v>0</v>
      </c>
    </row>
    <row r="120" spans="1:245" x14ac:dyDescent="0.2">
      <c r="A120">
        <v>18</v>
      </c>
      <c r="B120">
        <v>1</v>
      </c>
      <c r="C120">
        <v>38</v>
      </c>
      <c r="E120" t="s">
        <v>174</v>
      </c>
      <c r="F120" t="s">
        <v>31</v>
      </c>
      <c r="G120" t="s">
        <v>32</v>
      </c>
      <c r="H120" t="s">
        <v>33</v>
      </c>
      <c r="I120">
        <f>I118*J120</f>
        <v>18.354310000000002</v>
      </c>
      <c r="J120">
        <v>18.354310000000002</v>
      </c>
      <c r="O120">
        <f t="shared" si="107"/>
        <v>0</v>
      </c>
      <c r="P120">
        <f t="shared" si="108"/>
        <v>0</v>
      </c>
      <c r="Q120">
        <f>(ROUND((ROUND(((ET120)*AV120*I120),2)*BB120),2)+ROUND((ROUND(((AE120-(EU120))*AV120*I120),2)*BS120),2))</f>
        <v>0</v>
      </c>
      <c r="R120">
        <f t="shared" si="109"/>
        <v>0</v>
      </c>
      <c r="S120">
        <f>ROUND((ROUND((AF120*AV120*I120),2)*BA120),2)</f>
        <v>0</v>
      </c>
      <c r="T120">
        <f t="shared" si="110"/>
        <v>0</v>
      </c>
      <c r="U120">
        <f t="shared" si="111"/>
        <v>0</v>
      </c>
      <c r="V120">
        <f t="shared" si="112"/>
        <v>0</v>
      </c>
      <c r="W120">
        <f t="shared" si="113"/>
        <v>0</v>
      </c>
      <c r="X120">
        <f t="shared" si="114"/>
        <v>0</v>
      </c>
      <c r="Y120">
        <f t="shared" si="115"/>
        <v>0</v>
      </c>
      <c r="AA120">
        <v>309315610</v>
      </c>
      <c r="AB120">
        <f>ROUND((AC120+AD120+AF120),6)</f>
        <v>0</v>
      </c>
      <c r="AC120">
        <f t="shared" si="133"/>
        <v>0</v>
      </c>
      <c r="AD120">
        <f>ROUND((((ET120)-(EU120))+AE120),6)</f>
        <v>0</v>
      </c>
      <c r="AE120">
        <f>ROUND((EU120),6)</f>
        <v>0</v>
      </c>
      <c r="AF120">
        <f>ROUND((EV120),6)</f>
        <v>0</v>
      </c>
      <c r="AG120">
        <f t="shared" si="116"/>
        <v>0</v>
      </c>
      <c r="AH120">
        <f>(EW120)</f>
        <v>0</v>
      </c>
      <c r="AI120">
        <f>(EX120)</f>
        <v>0</v>
      </c>
      <c r="AJ120">
        <f t="shared" si="117"/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3</v>
      </c>
      <c r="BI120">
        <v>1</v>
      </c>
      <c r="BJ120" t="s">
        <v>3</v>
      </c>
      <c r="BM120">
        <v>1114</v>
      </c>
      <c r="BN120">
        <v>0</v>
      </c>
      <c r="BO120" t="s">
        <v>3</v>
      </c>
      <c r="BP120">
        <v>0</v>
      </c>
      <c r="BQ120">
        <v>160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0</v>
      </c>
      <c r="CA120">
        <v>0</v>
      </c>
      <c r="CE120">
        <v>30</v>
      </c>
      <c r="CF120">
        <v>0</v>
      </c>
      <c r="CG120">
        <v>0</v>
      </c>
      <c r="CM120">
        <v>0</v>
      </c>
      <c r="CN120" t="s">
        <v>170</v>
      </c>
      <c r="CO120">
        <v>0</v>
      </c>
      <c r="CP120">
        <f t="shared" si="118"/>
        <v>0</v>
      </c>
      <c r="CQ120">
        <f t="shared" si="119"/>
        <v>0</v>
      </c>
      <c r="CR120">
        <f>(ROUND((ROUND(((ET120)*AV120*1),2)*BB120),2)+ROUND((ROUND(((AE120-(EU120))*AV120*1),2)*BS120),2))</f>
        <v>0</v>
      </c>
      <c r="CS120">
        <f t="shared" si="120"/>
        <v>0</v>
      </c>
      <c r="CT120">
        <f t="shared" si="121"/>
        <v>0</v>
      </c>
      <c r="CU120">
        <f t="shared" si="122"/>
        <v>0</v>
      </c>
      <c r="CV120">
        <f t="shared" si="123"/>
        <v>0</v>
      </c>
      <c r="CW120">
        <f t="shared" si="124"/>
        <v>0</v>
      </c>
      <c r="CX120">
        <f t="shared" si="125"/>
        <v>0</v>
      </c>
      <c r="CY120">
        <f t="shared" si="126"/>
        <v>0</v>
      </c>
      <c r="CZ120">
        <f t="shared" si="127"/>
        <v>0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1007</v>
      </c>
      <c r="DV120" t="s">
        <v>33</v>
      </c>
      <c r="DW120" t="s">
        <v>33</v>
      </c>
      <c r="DX120">
        <v>1</v>
      </c>
      <c r="EE120">
        <v>298189190</v>
      </c>
      <c r="EF120">
        <v>160</v>
      </c>
      <c r="EG120" t="s">
        <v>23</v>
      </c>
      <c r="EH120">
        <v>0</v>
      </c>
      <c r="EI120" t="s">
        <v>3</v>
      </c>
      <c r="EJ120">
        <v>1</v>
      </c>
      <c r="EK120">
        <v>1114</v>
      </c>
      <c r="EL120" t="s">
        <v>24</v>
      </c>
      <c r="EM120" t="s">
        <v>25</v>
      </c>
      <c r="EO120" t="s">
        <v>3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FQ120">
        <v>0</v>
      </c>
      <c r="FR120">
        <f t="shared" si="128"/>
        <v>0</v>
      </c>
      <c r="FS120">
        <v>0</v>
      </c>
      <c r="FX120">
        <v>0</v>
      </c>
      <c r="FY120">
        <v>0</v>
      </c>
      <c r="GA120" t="s">
        <v>3</v>
      </c>
      <c r="GD120">
        <v>0</v>
      </c>
      <c r="GF120">
        <v>179728826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si="129"/>
        <v>0</v>
      </c>
      <c r="GM120">
        <f>ROUND(O120+X120+Y120+GK120,2)+GX120</f>
        <v>0</v>
      </c>
      <c r="GN120">
        <f>IF(OR(BI120=0,BI120=1),ROUND(O120+X120+Y120+GK120,2),0)</f>
        <v>0</v>
      </c>
      <c r="GO120">
        <f>IF(BI120=2,ROUND(O120+X120+Y120+GK120,2),0)</f>
        <v>0</v>
      </c>
      <c r="GP120">
        <f>IF(BI120=4,ROUND(O120+X120+Y120+GK120,2)+GX120,0)</f>
        <v>0</v>
      </c>
      <c r="GR120">
        <v>0</v>
      </c>
      <c r="GS120">
        <v>3</v>
      </c>
      <c r="GT120">
        <v>0</v>
      </c>
      <c r="GU120" t="s">
        <v>3</v>
      </c>
      <c r="GV120">
        <f t="shared" si="130"/>
        <v>0</v>
      </c>
      <c r="GW120">
        <v>1</v>
      </c>
      <c r="GX120">
        <f t="shared" si="131"/>
        <v>0</v>
      </c>
      <c r="HA120">
        <v>0</v>
      </c>
      <c r="HB120">
        <v>0</v>
      </c>
      <c r="HC120">
        <f t="shared" si="132"/>
        <v>0</v>
      </c>
      <c r="IK120">
        <v>0</v>
      </c>
    </row>
    <row r="121" spans="1:245" x14ac:dyDescent="0.2">
      <c r="A121">
        <v>17</v>
      </c>
      <c r="B121">
        <v>1</v>
      </c>
      <c r="C121">
        <f>ROW(SmtRes!A39)</f>
        <v>39</v>
      </c>
      <c r="D121">
        <f>ROW(EtalonRes!A37)</f>
        <v>37</v>
      </c>
      <c r="E121" t="s">
        <v>175</v>
      </c>
      <c r="F121" t="s">
        <v>176</v>
      </c>
      <c r="G121" t="s">
        <v>177</v>
      </c>
      <c r="H121" t="s">
        <v>178</v>
      </c>
      <c r="I121">
        <f>ROUND(1,3)</f>
        <v>1</v>
      </c>
      <c r="J121">
        <v>0</v>
      </c>
      <c r="O121">
        <f t="shared" si="107"/>
        <v>141774.51999999999</v>
      </c>
      <c r="P121">
        <f t="shared" si="108"/>
        <v>141774.51999999999</v>
      </c>
      <c r="Q121">
        <f>0</f>
        <v>0</v>
      </c>
      <c r="R121">
        <f t="shared" si="109"/>
        <v>0</v>
      </c>
      <c r="S121">
        <f>0</f>
        <v>0</v>
      </c>
      <c r="T121">
        <f t="shared" si="110"/>
        <v>0</v>
      </c>
      <c r="U121">
        <f t="shared" si="111"/>
        <v>0</v>
      </c>
      <c r="V121">
        <f t="shared" si="112"/>
        <v>0</v>
      </c>
      <c r="W121">
        <f t="shared" si="113"/>
        <v>0</v>
      </c>
      <c r="X121">
        <f t="shared" si="114"/>
        <v>0</v>
      </c>
      <c r="Y121">
        <f t="shared" si="115"/>
        <v>0</v>
      </c>
      <c r="AA121">
        <v>309315610</v>
      </c>
      <c r="AB121">
        <f>ROUND((AC121+0+0),6)</f>
        <v>27212</v>
      </c>
      <c r="AC121">
        <f t="shared" si="133"/>
        <v>27212</v>
      </c>
      <c r="AD121">
        <f>ROUND(((((ET121*1.15))-((EU121*1.15)))+AE121),6)</f>
        <v>5770.7</v>
      </c>
      <c r="AE121">
        <f>ROUND(((EU121*1.15)),6)</f>
        <v>0</v>
      </c>
      <c r="AF121">
        <f>ROUND(((EV121*1.15)),6)</f>
        <v>8629.6</v>
      </c>
      <c r="AG121">
        <f t="shared" si="116"/>
        <v>0</v>
      </c>
      <c r="AH121">
        <f>((EW121*1.15))</f>
        <v>0</v>
      </c>
      <c r="AI121">
        <f>((EX121*1.15))</f>
        <v>0</v>
      </c>
      <c r="AJ121">
        <f t="shared" si="117"/>
        <v>0</v>
      </c>
      <c r="AK121">
        <v>39734</v>
      </c>
      <c r="AL121">
        <v>27212</v>
      </c>
      <c r="AM121">
        <v>5018</v>
      </c>
      <c r="AN121">
        <v>0</v>
      </c>
      <c r="AO121">
        <v>7504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</v>
      </c>
      <c r="BA121">
        <v>16.93</v>
      </c>
      <c r="BB121">
        <v>10.65</v>
      </c>
      <c r="BC121">
        <v>5.21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1</v>
      </c>
      <c r="BJ121" t="s">
        <v>179</v>
      </c>
      <c r="BM121">
        <v>1114</v>
      </c>
      <c r="BN121">
        <v>0</v>
      </c>
      <c r="BO121" t="s">
        <v>176</v>
      </c>
      <c r="BP121">
        <v>1</v>
      </c>
      <c r="BQ121">
        <v>160</v>
      </c>
      <c r="BR121">
        <v>0</v>
      </c>
      <c r="BS121">
        <v>16.93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E121">
        <v>30</v>
      </c>
      <c r="CF121">
        <v>0</v>
      </c>
      <c r="CG121">
        <v>0</v>
      </c>
      <c r="CM121">
        <v>0</v>
      </c>
      <c r="CN121" t="s">
        <v>19</v>
      </c>
      <c r="CO121">
        <v>0</v>
      </c>
      <c r="CP121">
        <f t="shared" si="118"/>
        <v>141774.51999999999</v>
      </c>
      <c r="CQ121">
        <f t="shared" si="119"/>
        <v>141774.51999999999</v>
      </c>
      <c r="CR121">
        <f>(ROUND((ROUND((((ET121*1.15))*AV121*1),2)*BB121),2)+ROUND((ROUND(((AE121-((EU121*1.15)))*AV121*1),2)*BS121),2))</f>
        <v>61457.96</v>
      </c>
      <c r="CS121">
        <f t="shared" si="120"/>
        <v>0</v>
      </c>
      <c r="CT121">
        <f t="shared" si="121"/>
        <v>146099.13</v>
      </c>
      <c r="CU121">
        <f t="shared" si="122"/>
        <v>0</v>
      </c>
      <c r="CV121">
        <f t="shared" si="123"/>
        <v>0</v>
      </c>
      <c r="CW121">
        <f t="shared" si="124"/>
        <v>0</v>
      </c>
      <c r="CX121">
        <f t="shared" si="125"/>
        <v>0</v>
      </c>
      <c r="CY121">
        <f t="shared" si="126"/>
        <v>0</v>
      </c>
      <c r="CZ121">
        <f t="shared" si="127"/>
        <v>0</v>
      </c>
      <c r="DC121" t="s">
        <v>3</v>
      </c>
      <c r="DD121" t="s">
        <v>3</v>
      </c>
      <c r="DE121" t="s">
        <v>39</v>
      </c>
      <c r="DF121" t="s">
        <v>39</v>
      </c>
      <c r="DG121" t="s">
        <v>39</v>
      </c>
      <c r="DH121" t="s">
        <v>3</v>
      </c>
      <c r="DI121" t="s">
        <v>39</v>
      </c>
      <c r="DJ121" t="s">
        <v>39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178</v>
      </c>
      <c r="DW121" t="s">
        <v>178</v>
      </c>
      <c r="DX121">
        <v>1</v>
      </c>
      <c r="EE121">
        <v>298189190</v>
      </c>
      <c r="EF121">
        <v>160</v>
      </c>
      <c r="EG121" t="s">
        <v>23</v>
      </c>
      <c r="EH121">
        <v>0</v>
      </c>
      <c r="EI121" t="s">
        <v>3</v>
      </c>
      <c r="EJ121">
        <v>1</v>
      </c>
      <c r="EK121">
        <v>1114</v>
      </c>
      <c r="EL121" t="s">
        <v>24</v>
      </c>
      <c r="EM121" t="s">
        <v>25</v>
      </c>
      <c r="EO121" t="s">
        <v>3</v>
      </c>
      <c r="EQ121">
        <v>512</v>
      </c>
      <c r="ER121">
        <v>39734</v>
      </c>
      <c r="ES121">
        <v>27212</v>
      </c>
      <c r="ET121">
        <v>5018</v>
      </c>
      <c r="EU121">
        <v>0</v>
      </c>
      <c r="EV121">
        <v>7504</v>
      </c>
      <c r="EW121">
        <v>0</v>
      </c>
      <c r="EX121">
        <v>0</v>
      </c>
      <c r="EY121">
        <v>0</v>
      </c>
      <c r="FQ121">
        <v>0</v>
      </c>
      <c r="FR121">
        <f t="shared" si="128"/>
        <v>0</v>
      </c>
      <c r="FS121">
        <v>0</v>
      </c>
      <c r="FX121">
        <v>0</v>
      </c>
      <c r="FY121">
        <v>0</v>
      </c>
      <c r="GA121" t="s">
        <v>3</v>
      </c>
      <c r="GD121">
        <v>1</v>
      </c>
      <c r="GF121">
        <v>1075185797</v>
      </c>
      <c r="GG121">
        <v>2</v>
      </c>
      <c r="GH121">
        <v>1</v>
      </c>
      <c r="GI121">
        <v>2</v>
      </c>
      <c r="GJ121">
        <v>3</v>
      </c>
      <c r="GK121">
        <v>0</v>
      </c>
      <c r="GL121">
        <f t="shared" si="129"/>
        <v>0</v>
      </c>
      <c r="GM121">
        <f>ROUND(P121+GY121+GZ121,2)+GX121</f>
        <v>349331.61</v>
      </c>
      <c r="GN121">
        <f>IF(OR(BI121=0,BI121=1),ROUND(P121+GY121+GZ121,2),0)</f>
        <v>349331.61</v>
      </c>
      <c r="GO121">
        <f>IF(BI121=2,ROUND(P121+GY121+GZ121,2),0)</f>
        <v>0</v>
      </c>
      <c r="GP121">
        <f>IF(BI121=4,ROUND(P121+GY121+GZ121,2)+GX121,0)</f>
        <v>0</v>
      </c>
      <c r="GR121">
        <v>0</v>
      </c>
      <c r="GS121">
        <v>0</v>
      </c>
      <c r="GT121">
        <v>0</v>
      </c>
      <c r="GU121" t="s">
        <v>3</v>
      </c>
      <c r="GV121">
        <f t="shared" si="130"/>
        <v>0</v>
      </c>
      <c r="GW121">
        <v>1</v>
      </c>
      <c r="GX121">
        <f t="shared" si="131"/>
        <v>0</v>
      </c>
      <c r="GY121">
        <f>(ROUND((ROUND((((ET121*1.15))*AV121*I121),2)*BB121),2)+ROUND((ROUND(((AE121-((EU121*1.15)))*AV121*I121),2)*BS121),2))</f>
        <v>61457.96</v>
      </c>
      <c r="GZ121">
        <f>ROUND((ROUND((AF121*AV121*I121),2)*BA121),2)</f>
        <v>146099.13</v>
      </c>
      <c r="HA121">
        <v>0</v>
      </c>
      <c r="HB121">
        <v>0</v>
      </c>
      <c r="HC121">
        <f t="shared" si="132"/>
        <v>0</v>
      </c>
      <c r="IK121">
        <v>0</v>
      </c>
    </row>
    <row r="122" spans="1:245" x14ac:dyDescent="0.2">
      <c r="A122">
        <v>17</v>
      </c>
      <c r="B122">
        <v>1</v>
      </c>
      <c r="C122">
        <f>ROW(SmtRes!A41)</f>
        <v>41</v>
      </c>
      <c r="D122">
        <f>ROW(EtalonRes!A39)</f>
        <v>39</v>
      </c>
      <c r="E122" t="s">
        <v>180</v>
      </c>
      <c r="F122" t="s">
        <v>35</v>
      </c>
      <c r="G122" t="s">
        <v>36</v>
      </c>
      <c r="H122" t="s">
        <v>37</v>
      </c>
      <c r="I122">
        <f>ROUND((3.5+3.5)*2*5*I118,9)</f>
        <v>70</v>
      </c>
      <c r="J122">
        <v>0</v>
      </c>
      <c r="O122">
        <f t="shared" si="107"/>
        <v>39895.800000000003</v>
      </c>
      <c r="P122">
        <f t="shared" si="108"/>
        <v>39895.800000000003</v>
      </c>
      <c r="Q122">
        <f>0</f>
        <v>0</v>
      </c>
      <c r="R122">
        <f t="shared" si="109"/>
        <v>0</v>
      </c>
      <c r="S122">
        <f>0</f>
        <v>0</v>
      </c>
      <c r="T122">
        <f t="shared" si="110"/>
        <v>0</v>
      </c>
      <c r="U122">
        <f t="shared" si="111"/>
        <v>0</v>
      </c>
      <c r="V122">
        <f t="shared" si="112"/>
        <v>0</v>
      </c>
      <c r="W122">
        <f t="shared" si="113"/>
        <v>0</v>
      </c>
      <c r="X122">
        <f t="shared" si="114"/>
        <v>0</v>
      </c>
      <c r="Y122">
        <f t="shared" si="115"/>
        <v>0</v>
      </c>
      <c r="AA122">
        <v>309315610</v>
      </c>
      <c r="AB122">
        <f>ROUND((AC122+0+0),6)</f>
        <v>69</v>
      </c>
      <c r="AC122">
        <f t="shared" si="133"/>
        <v>69</v>
      </c>
      <c r="AD122">
        <f>ROUND(((((ET122*1.15))-((EU122*1.15)))+AE122),6)</f>
        <v>34.5</v>
      </c>
      <c r="AE122">
        <f>ROUND(((EU122*1.15)),6)</f>
        <v>0</v>
      </c>
      <c r="AF122">
        <f>ROUND(((EV122*1.15)),6)</f>
        <v>47.15</v>
      </c>
      <c r="AG122">
        <f t="shared" si="116"/>
        <v>0</v>
      </c>
      <c r="AH122">
        <f>((EW122*1.15))</f>
        <v>0</v>
      </c>
      <c r="AI122">
        <f>((EX122*1.15))</f>
        <v>0</v>
      </c>
      <c r="AJ122">
        <f t="shared" si="117"/>
        <v>0</v>
      </c>
      <c r="AK122">
        <v>140</v>
      </c>
      <c r="AL122">
        <v>69</v>
      </c>
      <c r="AM122">
        <v>30</v>
      </c>
      <c r="AN122">
        <v>0</v>
      </c>
      <c r="AO122">
        <v>41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</v>
      </c>
      <c r="BA122">
        <v>18.899999999999999</v>
      </c>
      <c r="BB122">
        <v>7.73</v>
      </c>
      <c r="BC122">
        <v>8.26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38</v>
      </c>
      <c r="BM122">
        <v>1114</v>
      </c>
      <c r="BN122">
        <v>0</v>
      </c>
      <c r="BO122" t="s">
        <v>35</v>
      </c>
      <c r="BP122">
        <v>1</v>
      </c>
      <c r="BQ122">
        <v>160</v>
      </c>
      <c r="BR122">
        <v>0</v>
      </c>
      <c r="BS122">
        <v>18.899999999999999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0</v>
      </c>
      <c r="CA122">
        <v>0</v>
      </c>
      <c r="CE122">
        <v>30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18"/>
        <v>39895.800000000003</v>
      </c>
      <c r="CQ122">
        <f t="shared" si="119"/>
        <v>569.94000000000005</v>
      </c>
      <c r="CR122">
        <f>(ROUND((ROUND((((ET122*1.15))*AV122*1),2)*BB122),2)+ROUND((ROUND(((AE122-((EU122*1.15)))*AV122*1),2)*BS122),2))</f>
        <v>266.69</v>
      </c>
      <c r="CS122">
        <f t="shared" si="120"/>
        <v>0</v>
      </c>
      <c r="CT122">
        <f t="shared" si="121"/>
        <v>891.14</v>
      </c>
      <c r="CU122">
        <f t="shared" si="122"/>
        <v>0</v>
      </c>
      <c r="CV122">
        <f t="shared" si="123"/>
        <v>0</v>
      </c>
      <c r="CW122">
        <f t="shared" si="124"/>
        <v>0</v>
      </c>
      <c r="CX122">
        <f t="shared" si="125"/>
        <v>0</v>
      </c>
      <c r="CY122">
        <f t="shared" si="126"/>
        <v>0</v>
      </c>
      <c r="CZ122">
        <f t="shared" si="127"/>
        <v>0</v>
      </c>
      <c r="DC122" t="s">
        <v>3</v>
      </c>
      <c r="DD122" t="s">
        <v>3</v>
      </c>
      <c r="DE122" t="s">
        <v>39</v>
      </c>
      <c r="DF122" t="s">
        <v>39</v>
      </c>
      <c r="DG122" t="s">
        <v>39</v>
      </c>
      <c r="DH122" t="s">
        <v>3</v>
      </c>
      <c r="DI122" t="s">
        <v>39</v>
      </c>
      <c r="DJ122" t="s">
        <v>39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37</v>
      </c>
      <c r="DW122" t="s">
        <v>37</v>
      </c>
      <c r="DX122">
        <v>1</v>
      </c>
      <c r="EE122">
        <v>298189190</v>
      </c>
      <c r="EF122">
        <v>160</v>
      </c>
      <c r="EG122" t="s">
        <v>23</v>
      </c>
      <c r="EH122">
        <v>0</v>
      </c>
      <c r="EI122" t="s">
        <v>3</v>
      </c>
      <c r="EJ122">
        <v>1</v>
      </c>
      <c r="EK122">
        <v>1114</v>
      </c>
      <c r="EL122" t="s">
        <v>24</v>
      </c>
      <c r="EM122" t="s">
        <v>25</v>
      </c>
      <c r="EO122" t="s">
        <v>3</v>
      </c>
      <c r="EQ122">
        <v>768</v>
      </c>
      <c r="ER122">
        <v>140</v>
      </c>
      <c r="ES122">
        <v>69</v>
      </c>
      <c r="ET122">
        <v>30</v>
      </c>
      <c r="EU122">
        <v>0</v>
      </c>
      <c r="EV122">
        <v>41</v>
      </c>
      <c r="EW122">
        <v>0</v>
      </c>
      <c r="EX122">
        <v>0</v>
      </c>
      <c r="EY122">
        <v>1</v>
      </c>
      <c r="FQ122">
        <v>0</v>
      </c>
      <c r="FR122">
        <f t="shared" si="128"/>
        <v>0</v>
      </c>
      <c r="FS122">
        <v>0</v>
      </c>
      <c r="FX122">
        <v>0</v>
      </c>
      <c r="FY122">
        <v>0</v>
      </c>
      <c r="GA122" t="s">
        <v>3</v>
      </c>
      <c r="GD122">
        <v>1</v>
      </c>
      <c r="GF122">
        <v>-1502472745</v>
      </c>
      <c r="GG122">
        <v>2</v>
      </c>
      <c r="GH122">
        <v>1</v>
      </c>
      <c r="GI122">
        <v>2</v>
      </c>
      <c r="GJ122">
        <v>3</v>
      </c>
      <c r="GK122">
        <v>0</v>
      </c>
      <c r="GL122">
        <f t="shared" si="129"/>
        <v>0</v>
      </c>
      <c r="GM122">
        <f>ROUND(P122+GY122+GZ122,2)+GX122</f>
        <v>120943.2</v>
      </c>
      <c r="GN122">
        <f>IF(OR(BI122=0,BI122=1),ROUND(P122+GY122+GZ122,2),0)</f>
        <v>120943.2</v>
      </c>
      <c r="GO122">
        <f>IF(BI122=2,ROUND(P122+GY122+GZ122,2),0)</f>
        <v>0</v>
      </c>
      <c r="GP122">
        <f>IF(BI122=4,ROUND(P122+GY122+GZ122,2)+GX122,0)</f>
        <v>0</v>
      </c>
      <c r="GR122">
        <v>0</v>
      </c>
      <c r="GS122">
        <v>0</v>
      </c>
      <c r="GT122">
        <v>0</v>
      </c>
      <c r="GU122" t="s">
        <v>3</v>
      </c>
      <c r="GV122">
        <f t="shared" si="130"/>
        <v>0</v>
      </c>
      <c r="GW122">
        <v>1</v>
      </c>
      <c r="GX122">
        <f t="shared" si="131"/>
        <v>0</v>
      </c>
      <c r="GY122">
        <f>(ROUND((ROUND((((ET122*1.15))*AV122*I122),2)*BB122),2)+ROUND((ROUND(((AE122-((EU122*1.15)))*AV122*I122),2)*BS122),2))</f>
        <v>18667.95</v>
      </c>
      <c r="GZ122">
        <f>ROUND((ROUND((AF122*AV122*I122),2)*BA122),2)</f>
        <v>62379.45</v>
      </c>
      <c r="HA122">
        <v>0.2</v>
      </c>
      <c r="HB122">
        <v>0</v>
      </c>
      <c r="HC122">
        <f t="shared" si="132"/>
        <v>0</v>
      </c>
      <c r="IK122">
        <v>0</v>
      </c>
    </row>
    <row r="123" spans="1:245" x14ac:dyDescent="0.2">
      <c r="A123">
        <v>18</v>
      </c>
      <c r="B123">
        <v>1</v>
      </c>
      <c r="C123">
        <v>41</v>
      </c>
      <c r="E123" t="s">
        <v>181</v>
      </c>
      <c r="F123" t="s">
        <v>31</v>
      </c>
      <c r="G123" t="s">
        <v>32</v>
      </c>
      <c r="H123" t="s">
        <v>33</v>
      </c>
      <c r="I123">
        <f>I122*J123</f>
        <v>14</v>
      </c>
      <c r="J123">
        <v>0.2</v>
      </c>
      <c r="O123">
        <f t="shared" si="107"/>
        <v>0</v>
      </c>
      <c r="P123">
        <f t="shared" si="108"/>
        <v>0</v>
      </c>
      <c r="Q123">
        <f>(ROUND((ROUND(((ET123)*AV123*I123),2)*BB123),2)+ROUND((ROUND(((AE123-(EU123))*AV123*I123),2)*BS123),2))</f>
        <v>0</v>
      </c>
      <c r="R123">
        <f t="shared" si="109"/>
        <v>0</v>
      </c>
      <c r="S123">
        <f t="shared" ref="S123:S128" si="134">ROUND((ROUND((AF123*AV123*I123),2)*BA123),2)</f>
        <v>0</v>
      </c>
      <c r="T123">
        <f t="shared" si="110"/>
        <v>0</v>
      </c>
      <c r="U123">
        <f t="shared" si="111"/>
        <v>0</v>
      </c>
      <c r="V123">
        <f t="shared" si="112"/>
        <v>0</v>
      </c>
      <c r="W123">
        <f t="shared" si="113"/>
        <v>0</v>
      </c>
      <c r="X123">
        <f t="shared" si="114"/>
        <v>0</v>
      </c>
      <c r="Y123">
        <f t="shared" si="115"/>
        <v>0</v>
      </c>
      <c r="AA123">
        <v>309315610</v>
      </c>
      <c r="AB123">
        <f t="shared" ref="AB123:AB128" si="135">ROUND((AC123+AD123+AF123),6)</f>
        <v>0</v>
      </c>
      <c r="AC123">
        <f t="shared" si="133"/>
        <v>0</v>
      </c>
      <c r="AD123">
        <f>ROUND((((ET123)-(EU123))+AE123),6)</f>
        <v>0</v>
      </c>
      <c r="AE123">
        <f t="shared" ref="AE123:AF128" si="136">ROUND((EU123),6)</f>
        <v>0</v>
      </c>
      <c r="AF123">
        <f t="shared" si="136"/>
        <v>0</v>
      </c>
      <c r="AG123">
        <f t="shared" si="116"/>
        <v>0</v>
      </c>
      <c r="AH123">
        <f t="shared" ref="AH123:AI128" si="137">(EW123)</f>
        <v>0</v>
      </c>
      <c r="AI123">
        <f t="shared" si="137"/>
        <v>0</v>
      </c>
      <c r="AJ123">
        <f t="shared" si="117"/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3</v>
      </c>
      <c r="BI123">
        <v>1</v>
      </c>
      <c r="BJ123" t="s">
        <v>3</v>
      </c>
      <c r="BM123">
        <v>1114</v>
      </c>
      <c r="BN123">
        <v>0</v>
      </c>
      <c r="BO123" t="s">
        <v>3</v>
      </c>
      <c r="BP123">
        <v>0</v>
      </c>
      <c r="BQ123">
        <v>160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0</v>
      </c>
      <c r="CA123">
        <v>0</v>
      </c>
      <c r="CE123">
        <v>30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18"/>
        <v>0</v>
      </c>
      <c r="CQ123">
        <f t="shared" si="119"/>
        <v>0</v>
      </c>
      <c r="CR123">
        <f>(ROUND((ROUND(((ET123)*AV123*1),2)*BB123),2)+ROUND((ROUND(((AE123-(EU123))*AV123*1),2)*BS123),2))</f>
        <v>0</v>
      </c>
      <c r="CS123">
        <f t="shared" si="120"/>
        <v>0</v>
      </c>
      <c r="CT123">
        <f t="shared" si="121"/>
        <v>0</v>
      </c>
      <c r="CU123">
        <f t="shared" si="122"/>
        <v>0</v>
      </c>
      <c r="CV123">
        <f t="shared" si="123"/>
        <v>0</v>
      </c>
      <c r="CW123">
        <f t="shared" si="124"/>
        <v>0</v>
      </c>
      <c r="CX123">
        <f t="shared" si="125"/>
        <v>0</v>
      </c>
      <c r="CY123">
        <f t="shared" si="126"/>
        <v>0</v>
      </c>
      <c r="CZ123">
        <f t="shared" si="127"/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1007</v>
      </c>
      <c r="DV123" t="s">
        <v>33</v>
      </c>
      <c r="DW123" t="s">
        <v>33</v>
      </c>
      <c r="DX123">
        <v>1</v>
      </c>
      <c r="EE123">
        <v>298189190</v>
      </c>
      <c r="EF123">
        <v>160</v>
      </c>
      <c r="EG123" t="s">
        <v>23</v>
      </c>
      <c r="EH123">
        <v>0</v>
      </c>
      <c r="EI123" t="s">
        <v>3</v>
      </c>
      <c r="EJ123">
        <v>1</v>
      </c>
      <c r="EK123">
        <v>1114</v>
      </c>
      <c r="EL123" t="s">
        <v>24</v>
      </c>
      <c r="EM123" t="s">
        <v>25</v>
      </c>
      <c r="EO123" t="s">
        <v>3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FQ123">
        <v>0</v>
      </c>
      <c r="FR123">
        <f t="shared" si="128"/>
        <v>0</v>
      </c>
      <c r="FS123">
        <v>0</v>
      </c>
      <c r="FX123">
        <v>0</v>
      </c>
      <c r="FY123">
        <v>0</v>
      </c>
      <c r="GA123" t="s">
        <v>3</v>
      </c>
      <c r="GD123">
        <v>0</v>
      </c>
      <c r="GF123">
        <v>179728826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129"/>
        <v>0</v>
      </c>
      <c r="GM123">
        <f>ROUND(O123+X123+Y123+GK123,2)+GX123</f>
        <v>0</v>
      </c>
      <c r="GN123">
        <f>IF(OR(BI123=0,BI123=1),ROUND(O123+X123+Y123+GK123,2),0)</f>
        <v>0</v>
      </c>
      <c r="GO123">
        <f>IF(BI123=2,ROUND(O123+X123+Y123+GK123,2),0)</f>
        <v>0</v>
      </c>
      <c r="GP123">
        <f>IF(BI123=4,ROUND(O123+X123+Y123+GK123,2)+GX123,0)</f>
        <v>0</v>
      </c>
      <c r="GR123">
        <v>0</v>
      </c>
      <c r="GS123">
        <v>0</v>
      </c>
      <c r="GT123">
        <v>0</v>
      </c>
      <c r="GU123" t="s">
        <v>3</v>
      </c>
      <c r="GV123">
        <f t="shared" si="130"/>
        <v>0</v>
      </c>
      <c r="GW123">
        <v>1</v>
      </c>
      <c r="GX123">
        <f t="shared" si="131"/>
        <v>0</v>
      </c>
      <c r="HA123">
        <v>0</v>
      </c>
      <c r="HB123">
        <v>0</v>
      </c>
      <c r="HC123">
        <f t="shared" si="132"/>
        <v>0</v>
      </c>
      <c r="IK123">
        <v>0</v>
      </c>
    </row>
    <row r="124" spans="1:245" x14ac:dyDescent="0.2">
      <c r="A124">
        <v>17</v>
      </c>
      <c r="B124">
        <v>1</v>
      </c>
      <c r="C124">
        <f>ROW(SmtRes!A44)</f>
        <v>44</v>
      </c>
      <c r="D124">
        <f>ROW(EtalonRes!A42)</f>
        <v>42</v>
      </c>
      <c r="E124" t="s">
        <v>182</v>
      </c>
      <c r="F124" t="s">
        <v>42</v>
      </c>
      <c r="G124" t="s">
        <v>43</v>
      </c>
      <c r="H124" t="s">
        <v>44</v>
      </c>
      <c r="I124">
        <f>ROUND((I120+I123)/100,4)</f>
        <v>0.32350000000000001</v>
      </c>
      <c r="J124">
        <v>0</v>
      </c>
      <c r="O124">
        <f t="shared" si="107"/>
        <v>2728.13</v>
      </c>
      <c r="P124">
        <f t="shared" si="108"/>
        <v>0</v>
      </c>
      <c r="Q124">
        <f>(ROUND((ROUND(((ET124)*AV124*I124),2)*BB124),2)+ROUND((ROUND(((AE124-(EU124))*AV124*I124),2)*BS124),2))</f>
        <v>2611.5500000000002</v>
      </c>
      <c r="R124">
        <f t="shared" si="109"/>
        <v>1160.8599999999999</v>
      </c>
      <c r="S124">
        <f t="shared" si="134"/>
        <v>116.58</v>
      </c>
      <c r="T124">
        <f t="shared" si="110"/>
        <v>0</v>
      </c>
      <c r="U124">
        <f t="shared" si="111"/>
        <v>0.53214455999999999</v>
      </c>
      <c r="V124">
        <f t="shared" si="112"/>
        <v>0</v>
      </c>
      <c r="W124">
        <f t="shared" si="113"/>
        <v>0</v>
      </c>
      <c r="X124">
        <f t="shared" si="114"/>
        <v>107.25</v>
      </c>
      <c r="Y124">
        <f t="shared" si="115"/>
        <v>58.29</v>
      </c>
      <c r="AA124">
        <v>309315610</v>
      </c>
      <c r="AB124">
        <f t="shared" si="135"/>
        <v>771.65</v>
      </c>
      <c r="AC124">
        <f t="shared" si="133"/>
        <v>0</v>
      </c>
      <c r="AD124">
        <f>ROUND((((ET124)-(EU124))+AE124),6)</f>
        <v>757.55</v>
      </c>
      <c r="AE124">
        <f t="shared" si="136"/>
        <v>140.47999999999999</v>
      </c>
      <c r="AF124">
        <f t="shared" si="136"/>
        <v>14.1</v>
      </c>
      <c r="AG124">
        <f t="shared" si="116"/>
        <v>0</v>
      </c>
      <c r="AH124">
        <f t="shared" si="137"/>
        <v>1.38</v>
      </c>
      <c r="AI124">
        <f t="shared" si="137"/>
        <v>0</v>
      </c>
      <c r="AJ124">
        <f t="shared" si="117"/>
        <v>0</v>
      </c>
      <c r="AK124">
        <v>771.65</v>
      </c>
      <c r="AL124">
        <v>0</v>
      </c>
      <c r="AM124">
        <v>757.55</v>
      </c>
      <c r="AN124">
        <v>140.47999999999999</v>
      </c>
      <c r="AO124">
        <v>14.1</v>
      </c>
      <c r="AP124">
        <v>0</v>
      </c>
      <c r="AQ124">
        <v>1.38</v>
      </c>
      <c r="AR124">
        <v>0</v>
      </c>
      <c r="AS124">
        <v>0</v>
      </c>
      <c r="AT124">
        <v>92</v>
      </c>
      <c r="AU124">
        <v>50</v>
      </c>
      <c r="AV124">
        <v>1.1919999999999999</v>
      </c>
      <c r="AW124">
        <v>1</v>
      </c>
      <c r="AZ124">
        <v>1</v>
      </c>
      <c r="BA124">
        <v>21.43</v>
      </c>
      <c r="BB124">
        <v>8.94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1</v>
      </c>
      <c r="BJ124" t="s">
        <v>45</v>
      </c>
      <c r="BM124">
        <v>2</v>
      </c>
      <c r="BN124">
        <v>0</v>
      </c>
      <c r="BO124" t="s">
        <v>42</v>
      </c>
      <c r="BP124">
        <v>1</v>
      </c>
      <c r="BQ124">
        <v>30</v>
      </c>
      <c r="BR124">
        <v>0</v>
      </c>
      <c r="BS124">
        <v>21.43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92</v>
      </c>
      <c r="CA124">
        <v>50</v>
      </c>
      <c r="CE124">
        <v>30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18"/>
        <v>2728.13</v>
      </c>
      <c r="CQ124">
        <f t="shared" si="119"/>
        <v>0</v>
      </c>
      <c r="CR124">
        <f>(ROUND((ROUND(((ET124)*AV124*1),2)*BB124),2)+ROUND((ROUND(((AE124-(EU124))*AV124*1),2)*BS124),2))</f>
        <v>8072.82</v>
      </c>
      <c r="CS124">
        <f t="shared" si="120"/>
        <v>3588.45</v>
      </c>
      <c r="CT124">
        <f t="shared" si="121"/>
        <v>360.24</v>
      </c>
      <c r="CU124">
        <f t="shared" si="122"/>
        <v>0</v>
      </c>
      <c r="CV124">
        <f t="shared" si="123"/>
        <v>1.6449599999999998</v>
      </c>
      <c r="CW124">
        <f t="shared" si="124"/>
        <v>0</v>
      </c>
      <c r="CX124">
        <f t="shared" si="125"/>
        <v>0</v>
      </c>
      <c r="CY124">
        <f t="shared" si="126"/>
        <v>107.25360000000001</v>
      </c>
      <c r="CZ124">
        <f t="shared" si="127"/>
        <v>58.29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98</v>
      </c>
      <c r="DO124">
        <v>77</v>
      </c>
      <c r="DP124">
        <v>1.1919999999999999</v>
      </c>
      <c r="DQ124">
        <v>1</v>
      </c>
      <c r="DU124">
        <v>1013</v>
      </c>
      <c r="DV124" t="s">
        <v>44</v>
      </c>
      <c r="DW124" t="s">
        <v>44</v>
      </c>
      <c r="DX124">
        <v>1</v>
      </c>
      <c r="EE124">
        <v>298188122</v>
      </c>
      <c r="EF124">
        <v>30</v>
      </c>
      <c r="EG124" t="s">
        <v>46</v>
      </c>
      <c r="EH124">
        <v>0</v>
      </c>
      <c r="EI124" t="s">
        <v>3</v>
      </c>
      <c r="EJ124">
        <v>1</v>
      </c>
      <c r="EK124">
        <v>2</v>
      </c>
      <c r="EL124" t="s">
        <v>47</v>
      </c>
      <c r="EM124" t="s">
        <v>48</v>
      </c>
      <c r="EO124" t="s">
        <v>3</v>
      </c>
      <c r="EQ124">
        <v>768</v>
      </c>
      <c r="ER124">
        <v>771.65</v>
      </c>
      <c r="ES124">
        <v>0</v>
      </c>
      <c r="ET124">
        <v>757.55</v>
      </c>
      <c r="EU124">
        <v>140.47999999999999</v>
      </c>
      <c r="EV124">
        <v>14.1</v>
      </c>
      <c r="EW124">
        <v>1.38</v>
      </c>
      <c r="EX124">
        <v>0</v>
      </c>
      <c r="EY124">
        <v>0</v>
      </c>
      <c r="FQ124">
        <v>0</v>
      </c>
      <c r="FR124">
        <f t="shared" si="128"/>
        <v>0</v>
      </c>
      <c r="FS124">
        <v>0</v>
      </c>
      <c r="FX124">
        <v>98</v>
      </c>
      <c r="FY124">
        <v>77</v>
      </c>
      <c r="GA124" t="s">
        <v>3</v>
      </c>
      <c r="GD124">
        <v>0</v>
      </c>
      <c r="GF124">
        <v>445216503</v>
      </c>
      <c r="GG124">
        <v>2</v>
      </c>
      <c r="GH124">
        <v>1</v>
      </c>
      <c r="GI124">
        <v>2</v>
      </c>
      <c r="GJ124">
        <v>0</v>
      </c>
      <c r="GK124">
        <f>ROUND(R124*(R12)/100,2)</f>
        <v>1822.55</v>
      </c>
      <c r="GL124">
        <f t="shared" si="129"/>
        <v>0</v>
      </c>
      <c r="GM124">
        <f>ROUND(O124+X124+Y124+GK124,2)+GX124</f>
        <v>4716.22</v>
      </c>
      <c r="GN124">
        <f>IF(OR(BI124=0,BI124=1),ROUND(O124+X124+Y124+GK124,2),0)</f>
        <v>4716.22</v>
      </c>
      <c r="GO124">
        <f>IF(BI124=2,ROUND(O124+X124+Y124+GK124,2),0)</f>
        <v>0</v>
      </c>
      <c r="GP124">
        <f>IF(BI124=4,ROUND(O124+X124+Y124+GK124,2)+GX124,0)</f>
        <v>0</v>
      </c>
      <c r="GR124">
        <v>0</v>
      </c>
      <c r="GS124">
        <v>0</v>
      </c>
      <c r="GT124">
        <v>0</v>
      </c>
      <c r="GU124" t="s">
        <v>3</v>
      </c>
      <c r="GV124">
        <f t="shared" si="130"/>
        <v>0</v>
      </c>
      <c r="GW124">
        <v>1</v>
      </c>
      <c r="GX124">
        <f t="shared" si="131"/>
        <v>0</v>
      </c>
      <c r="HA124">
        <v>0</v>
      </c>
      <c r="HB124">
        <v>0</v>
      </c>
      <c r="HC124">
        <f t="shared" si="132"/>
        <v>0</v>
      </c>
      <c r="IK124">
        <v>0</v>
      </c>
    </row>
    <row r="125" spans="1:245" x14ac:dyDescent="0.2">
      <c r="A125">
        <v>17</v>
      </c>
      <c r="B125">
        <v>1</v>
      </c>
      <c r="C125">
        <f>ROW(SmtRes!A45)</f>
        <v>45</v>
      </c>
      <c r="D125">
        <f>ROW(EtalonRes!A43)</f>
        <v>43</v>
      </c>
      <c r="E125" t="s">
        <v>183</v>
      </c>
      <c r="F125" t="s">
        <v>50</v>
      </c>
      <c r="G125" t="s">
        <v>51</v>
      </c>
      <c r="H125" t="s">
        <v>52</v>
      </c>
      <c r="I125">
        <f>ROUND(I124*100,9)</f>
        <v>32.35</v>
      </c>
      <c r="J125">
        <v>0</v>
      </c>
      <c r="O125">
        <f t="shared" si="107"/>
        <v>13987.37</v>
      </c>
      <c r="P125">
        <f t="shared" si="108"/>
        <v>0</v>
      </c>
      <c r="Q125">
        <f>(ROUND((ROUND(((ET125+(SUM(SmtRes!BD45:'SmtRes'!BD45)+SUM(EtalonRes!AM43:'EtalonRes'!AM43)))*AV125*I125),2)*BB125),2)+ROUND((ROUND(((AE125-(EU125))*AV125*I125),2)*BS125),2))</f>
        <v>13987.37</v>
      </c>
      <c r="R125">
        <f t="shared" si="109"/>
        <v>0</v>
      </c>
      <c r="S125">
        <f t="shared" si="134"/>
        <v>0</v>
      </c>
      <c r="T125">
        <f t="shared" si="110"/>
        <v>0</v>
      </c>
      <c r="U125">
        <f t="shared" si="111"/>
        <v>0</v>
      </c>
      <c r="V125">
        <f t="shared" si="112"/>
        <v>0</v>
      </c>
      <c r="W125">
        <f t="shared" si="113"/>
        <v>0</v>
      </c>
      <c r="X125">
        <f t="shared" si="114"/>
        <v>0</v>
      </c>
      <c r="Y125">
        <f t="shared" si="115"/>
        <v>0</v>
      </c>
      <c r="AA125">
        <v>309315610</v>
      </c>
      <c r="AB125">
        <f t="shared" si="135"/>
        <v>45.37</v>
      </c>
      <c r="AC125">
        <f t="shared" si="133"/>
        <v>0</v>
      </c>
      <c r="AD125">
        <f>ROUND((((ET125+(SUM(SmtRes!BD45:'SmtRes'!BD45)+SUM(EtalonRes!AM43:'EtalonRes'!AM43)))-(EU125))+AE125),6)</f>
        <v>45.37</v>
      </c>
      <c r="AE125">
        <f t="shared" si="136"/>
        <v>0</v>
      </c>
      <c r="AF125">
        <f t="shared" si="136"/>
        <v>0</v>
      </c>
      <c r="AG125">
        <f t="shared" si="116"/>
        <v>0</v>
      </c>
      <c r="AH125">
        <f t="shared" si="137"/>
        <v>0</v>
      </c>
      <c r="AI125">
        <f t="shared" si="137"/>
        <v>0</v>
      </c>
      <c r="AJ125">
        <f t="shared" si="117"/>
        <v>0</v>
      </c>
      <c r="AK125">
        <v>73.78</v>
      </c>
      <c r="AL125">
        <v>0</v>
      </c>
      <c r="AM125">
        <v>73.78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</v>
      </c>
      <c r="BA125">
        <v>21.43</v>
      </c>
      <c r="BB125">
        <v>9.5299999999999994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53</v>
      </c>
      <c r="BM125">
        <v>1111</v>
      </c>
      <c r="BN125">
        <v>0</v>
      </c>
      <c r="BO125" t="s">
        <v>50</v>
      </c>
      <c r="BP125">
        <v>1</v>
      </c>
      <c r="BQ125">
        <v>150</v>
      </c>
      <c r="BR125">
        <v>0</v>
      </c>
      <c r="BS125">
        <v>21.43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E125">
        <v>30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18"/>
        <v>13987.37</v>
      </c>
      <c r="CQ125">
        <f t="shared" si="119"/>
        <v>0</v>
      </c>
      <c r="CR125">
        <f>(ROUND((ROUND(((ET125+(SUM(SmtRes!BD45:'SmtRes'!BD45)+SUM(EtalonRes!AM43:'EtalonRes'!AM43)))*AV125*1),2)*BB125),2)+ROUND((ROUND(((AE125-(EU125))*AV125*1),2)*BS125),2))</f>
        <v>432.38</v>
      </c>
      <c r="CS125">
        <f t="shared" si="120"/>
        <v>0</v>
      </c>
      <c r="CT125">
        <f t="shared" si="121"/>
        <v>0</v>
      </c>
      <c r="CU125">
        <f t="shared" si="122"/>
        <v>0</v>
      </c>
      <c r="CV125">
        <f t="shared" si="123"/>
        <v>0</v>
      </c>
      <c r="CW125">
        <f t="shared" si="124"/>
        <v>0</v>
      </c>
      <c r="CX125">
        <f t="shared" si="125"/>
        <v>0</v>
      </c>
      <c r="CY125">
        <f t="shared" si="126"/>
        <v>0</v>
      </c>
      <c r="CZ125">
        <f t="shared" si="127"/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52</v>
      </c>
      <c r="DW125" t="s">
        <v>52</v>
      </c>
      <c r="DX125">
        <v>1</v>
      </c>
      <c r="EE125">
        <v>298189187</v>
      </c>
      <c r="EF125">
        <v>150</v>
      </c>
      <c r="EG125" t="s">
        <v>54</v>
      </c>
      <c r="EH125">
        <v>0</v>
      </c>
      <c r="EI125" t="s">
        <v>3</v>
      </c>
      <c r="EJ125">
        <v>4</v>
      </c>
      <c r="EK125">
        <v>1111</v>
      </c>
      <c r="EL125" t="s">
        <v>55</v>
      </c>
      <c r="EM125" t="s">
        <v>56</v>
      </c>
      <c r="EO125" t="s">
        <v>3</v>
      </c>
      <c r="EQ125">
        <v>256</v>
      </c>
      <c r="ER125">
        <v>73.78</v>
      </c>
      <c r="ES125">
        <v>0</v>
      </c>
      <c r="ET125">
        <v>73.78</v>
      </c>
      <c r="EU125">
        <v>0</v>
      </c>
      <c r="EV125">
        <v>0</v>
      </c>
      <c r="EW125">
        <v>0</v>
      </c>
      <c r="EX125">
        <v>0</v>
      </c>
      <c r="EY125">
        <v>1</v>
      </c>
      <c r="FQ125">
        <v>0</v>
      </c>
      <c r="FR125">
        <f t="shared" si="128"/>
        <v>0</v>
      </c>
      <c r="FS125">
        <v>0</v>
      </c>
      <c r="FX125">
        <v>0</v>
      </c>
      <c r="FY125">
        <v>0</v>
      </c>
      <c r="GA125" t="s">
        <v>3</v>
      </c>
      <c r="GD125">
        <v>1</v>
      </c>
      <c r="GF125">
        <v>583310256</v>
      </c>
      <c r="GG125">
        <v>2</v>
      </c>
      <c r="GH125">
        <v>1</v>
      </c>
      <c r="GI125">
        <v>2</v>
      </c>
      <c r="GJ125">
        <v>0</v>
      </c>
      <c r="GK125">
        <v>0</v>
      </c>
      <c r="GL125">
        <f t="shared" si="129"/>
        <v>0</v>
      </c>
      <c r="GM125">
        <f>ROUND(O125+X125+Y125,2)+GX125</f>
        <v>13987.37</v>
      </c>
      <c r="GN125">
        <f>IF(OR(BI125=0,BI125=1),ROUND(O125+X125+Y125,2),0)</f>
        <v>0</v>
      </c>
      <c r="GO125">
        <f>IF(BI125=2,ROUND(O125+X125+Y125,2),0)</f>
        <v>0</v>
      </c>
      <c r="GP125">
        <f>IF(BI125=4,ROUND(O125+X125+Y125,2)+GX125,0)</f>
        <v>13987.37</v>
      </c>
      <c r="GR125">
        <v>0</v>
      </c>
      <c r="GS125">
        <v>3</v>
      </c>
      <c r="GT125">
        <v>0</v>
      </c>
      <c r="GU125" t="s">
        <v>3</v>
      </c>
      <c r="GV125">
        <f t="shared" si="130"/>
        <v>0</v>
      </c>
      <c r="GW125">
        <v>1</v>
      </c>
      <c r="GX125">
        <f t="shared" si="131"/>
        <v>0</v>
      </c>
      <c r="HA125">
        <v>0</v>
      </c>
      <c r="HB125">
        <v>0</v>
      </c>
      <c r="HC125">
        <f t="shared" si="132"/>
        <v>0</v>
      </c>
      <c r="IK125">
        <v>0</v>
      </c>
    </row>
    <row r="126" spans="1:245" x14ac:dyDescent="0.2">
      <c r="A126">
        <v>17</v>
      </c>
      <c r="B126">
        <v>1</v>
      </c>
      <c r="C126">
        <f>ROW(SmtRes!A46)</f>
        <v>46</v>
      </c>
      <c r="D126">
        <f>ROW(EtalonRes!A44)</f>
        <v>44</v>
      </c>
      <c r="E126" t="s">
        <v>184</v>
      </c>
      <c r="F126" t="s">
        <v>58</v>
      </c>
      <c r="G126" t="s">
        <v>59</v>
      </c>
      <c r="H126" t="s">
        <v>60</v>
      </c>
      <c r="I126">
        <f>ROUND(I125*1.8,4)</f>
        <v>58.23</v>
      </c>
      <c r="J126">
        <v>0</v>
      </c>
      <c r="O126">
        <f t="shared" si="107"/>
        <v>7232.95</v>
      </c>
      <c r="P126">
        <f t="shared" si="108"/>
        <v>0</v>
      </c>
      <c r="Q126">
        <f>(ROUND((ROUND(((ET126)*AV126*I126),2)*BB126),2)+ROUND((ROUND(((AE126-(EU126))*AV126*I126),2)*BS126),2))</f>
        <v>7232.95</v>
      </c>
      <c r="R126">
        <f t="shared" si="109"/>
        <v>0</v>
      </c>
      <c r="S126">
        <f t="shared" si="134"/>
        <v>0</v>
      </c>
      <c r="T126">
        <f t="shared" si="110"/>
        <v>0</v>
      </c>
      <c r="U126">
        <f t="shared" si="111"/>
        <v>0</v>
      </c>
      <c r="V126">
        <f t="shared" si="112"/>
        <v>0</v>
      </c>
      <c r="W126">
        <f t="shared" si="113"/>
        <v>0</v>
      </c>
      <c r="X126">
        <f t="shared" si="114"/>
        <v>0</v>
      </c>
      <c r="Y126">
        <f t="shared" si="115"/>
        <v>0</v>
      </c>
      <c r="AA126">
        <v>309315610</v>
      </c>
      <c r="AB126">
        <f t="shared" si="135"/>
        <v>43.28</v>
      </c>
      <c r="AC126">
        <f t="shared" si="133"/>
        <v>0</v>
      </c>
      <c r="AD126">
        <f>ROUND((((ET126)-(EU126))+AE126),6)</f>
        <v>43.28</v>
      </c>
      <c r="AE126">
        <f t="shared" si="136"/>
        <v>0</v>
      </c>
      <c r="AF126">
        <f t="shared" si="136"/>
        <v>0</v>
      </c>
      <c r="AG126">
        <f t="shared" si="116"/>
        <v>0</v>
      </c>
      <c r="AH126">
        <f t="shared" si="137"/>
        <v>0</v>
      </c>
      <c r="AI126">
        <f t="shared" si="137"/>
        <v>0</v>
      </c>
      <c r="AJ126">
        <f t="shared" si="117"/>
        <v>0</v>
      </c>
      <c r="AK126">
        <v>43.28</v>
      </c>
      <c r="AL126">
        <v>0</v>
      </c>
      <c r="AM126">
        <v>43.28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</v>
      </c>
      <c r="BA126">
        <v>21.43</v>
      </c>
      <c r="BB126">
        <v>2.87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61</v>
      </c>
      <c r="BM126">
        <v>1111</v>
      </c>
      <c r="BN126">
        <v>0</v>
      </c>
      <c r="BO126" t="s">
        <v>58</v>
      </c>
      <c r="BP126">
        <v>1</v>
      </c>
      <c r="BQ126">
        <v>150</v>
      </c>
      <c r="BR126">
        <v>0</v>
      </c>
      <c r="BS126">
        <v>21.43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0</v>
      </c>
      <c r="CA126">
        <v>0</v>
      </c>
      <c r="CE126">
        <v>30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18"/>
        <v>7232.95</v>
      </c>
      <c r="CQ126">
        <f t="shared" si="119"/>
        <v>0</v>
      </c>
      <c r="CR126">
        <f>(ROUND((ROUND(((ET126)*AV126*1),2)*BB126),2)+ROUND((ROUND(((AE126-(EU126))*AV126*1),2)*BS126),2))</f>
        <v>124.21</v>
      </c>
      <c r="CS126">
        <f t="shared" si="120"/>
        <v>0</v>
      </c>
      <c r="CT126">
        <f t="shared" si="121"/>
        <v>0</v>
      </c>
      <c r="CU126">
        <f t="shared" si="122"/>
        <v>0</v>
      </c>
      <c r="CV126">
        <f t="shared" si="123"/>
        <v>0</v>
      </c>
      <c r="CW126">
        <f t="shared" si="124"/>
        <v>0</v>
      </c>
      <c r="CX126">
        <f t="shared" si="125"/>
        <v>0</v>
      </c>
      <c r="CY126">
        <f t="shared" si="126"/>
        <v>0</v>
      </c>
      <c r="CZ126">
        <f t="shared" si="127"/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1013</v>
      </c>
      <c r="DV126" t="s">
        <v>60</v>
      </c>
      <c r="DW126" t="s">
        <v>60</v>
      </c>
      <c r="DX126">
        <v>1</v>
      </c>
      <c r="EE126">
        <v>298189187</v>
      </c>
      <c r="EF126">
        <v>150</v>
      </c>
      <c r="EG126" t="s">
        <v>54</v>
      </c>
      <c r="EH126">
        <v>0</v>
      </c>
      <c r="EI126" t="s">
        <v>3</v>
      </c>
      <c r="EJ126">
        <v>4</v>
      </c>
      <c r="EK126">
        <v>1111</v>
      </c>
      <c r="EL126" t="s">
        <v>55</v>
      </c>
      <c r="EM126" t="s">
        <v>56</v>
      </c>
      <c r="EO126" t="s">
        <v>3</v>
      </c>
      <c r="EQ126">
        <v>256</v>
      </c>
      <c r="ER126">
        <v>43.28</v>
      </c>
      <c r="ES126">
        <v>0</v>
      </c>
      <c r="ET126">
        <v>43.28</v>
      </c>
      <c r="EU126">
        <v>0</v>
      </c>
      <c r="EV126">
        <v>0</v>
      </c>
      <c r="EW126">
        <v>0</v>
      </c>
      <c r="EX126">
        <v>0</v>
      </c>
      <c r="EY126">
        <v>0</v>
      </c>
      <c r="FQ126">
        <v>0</v>
      </c>
      <c r="FR126">
        <f t="shared" si="128"/>
        <v>0</v>
      </c>
      <c r="FS126">
        <v>0</v>
      </c>
      <c r="FX126">
        <v>0</v>
      </c>
      <c r="FY126">
        <v>0</v>
      </c>
      <c r="GA126" t="s">
        <v>3</v>
      </c>
      <c r="GD126">
        <v>1</v>
      </c>
      <c r="GF126">
        <v>-1830155644</v>
      </c>
      <c r="GG126">
        <v>2</v>
      </c>
      <c r="GH126">
        <v>1</v>
      </c>
      <c r="GI126">
        <v>2</v>
      </c>
      <c r="GJ126">
        <v>0</v>
      </c>
      <c r="GK126">
        <v>0</v>
      </c>
      <c r="GL126">
        <f t="shared" si="129"/>
        <v>0</v>
      </c>
      <c r="GM126">
        <f>ROUND(O126+X126+Y126,2)+GX126</f>
        <v>7232.95</v>
      </c>
      <c r="GN126">
        <f>IF(OR(BI126=0,BI126=1),ROUND(O126+X126+Y126,2),0)</f>
        <v>0</v>
      </c>
      <c r="GO126">
        <f>IF(BI126=2,ROUND(O126+X126+Y126,2),0)</f>
        <v>0</v>
      </c>
      <c r="GP126">
        <f>IF(BI126=4,ROUND(O126+X126+Y126,2)+GX126,0)</f>
        <v>7232.95</v>
      </c>
      <c r="GR126">
        <v>0</v>
      </c>
      <c r="GS126">
        <v>0</v>
      </c>
      <c r="GT126">
        <v>0</v>
      </c>
      <c r="GU126" t="s">
        <v>3</v>
      </c>
      <c r="GV126">
        <f t="shared" si="130"/>
        <v>0</v>
      </c>
      <c r="GW126">
        <v>1</v>
      </c>
      <c r="GX126">
        <f t="shared" si="131"/>
        <v>0</v>
      </c>
      <c r="HA126">
        <v>0</v>
      </c>
      <c r="HB126">
        <v>0</v>
      </c>
      <c r="HC126">
        <f t="shared" si="132"/>
        <v>0</v>
      </c>
      <c r="IK126">
        <v>0</v>
      </c>
    </row>
    <row r="127" spans="1:245" x14ac:dyDescent="0.2">
      <c r="A127">
        <v>17</v>
      </c>
      <c r="B127">
        <v>1</v>
      </c>
      <c r="C127">
        <f>ROW(SmtRes!A47)</f>
        <v>47</v>
      </c>
      <c r="D127">
        <f>ROW(EtalonRes!A45)</f>
        <v>45</v>
      </c>
      <c r="E127" t="s">
        <v>185</v>
      </c>
      <c r="F127" t="s">
        <v>63</v>
      </c>
      <c r="G127" t="s">
        <v>64</v>
      </c>
      <c r="H127" t="s">
        <v>60</v>
      </c>
      <c r="I127">
        <f>ROUND(I119,3)</f>
        <v>0.25800000000000001</v>
      </c>
      <c r="J127">
        <v>0</v>
      </c>
      <c r="O127">
        <f t="shared" si="107"/>
        <v>62.35</v>
      </c>
      <c r="P127">
        <f t="shared" si="108"/>
        <v>0</v>
      </c>
      <c r="Q127">
        <f>(ROUND((ROUND(((ET127)*AV127*I127),2)*BB127),2)+ROUND((ROUND(((AE127-(EU127))*AV127*I127),2)*BS127),2))</f>
        <v>62.35</v>
      </c>
      <c r="R127">
        <f t="shared" si="109"/>
        <v>0</v>
      </c>
      <c r="S127">
        <f t="shared" si="134"/>
        <v>0</v>
      </c>
      <c r="T127">
        <f t="shared" si="110"/>
        <v>0</v>
      </c>
      <c r="U127">
        <f t="shared" si="111"/>
        <v>0</v>
      </c>
      <c r="V127">
        <f t="shared" si="112"/>
        <v>0</v>
      </c>
      <c r="W127">
        <f t="shared" si="113"/>
        <v>0</v>
      </c>
      <c r="X127">
        <f t="shared" si="114"/>
        <v>0</v>
      </c>
      <c r="Y127">
        <f t="shared" si="115"/>
        <v>0</v>
      </c>
      <c r="AA127">
        <v>309315610</v>
      </c>
      <c r="AB127">
        <f t="shared" si="135"/>
        <v>27.91</v>
      </c>
      <c r="AC127">
        <f t="shared" si="133"/>
        <v>0</v>
      </c>
      <c r="AD127">
        <f>ROUND((((ET127)-(EU127))+AE127),6)</f>
        <v>27.91</v>
      </c>
      <c r="AE127">
        <f t="shared" si="136"/>
        <v>0</v>
      </c>
      <c r="AF127">
        <f t="shared" si="136"/>
        <v>0</v>
      </c>
      <c r="AG127">
        <f t="shared" si="116"/>
        <v>0</v>
      </c>
      <c r="AH127">
        <f t="shared" si="137"/>
        <v>0</v>
      </c>
      <c r="AI127">
        <f t="shared" si="137"/>
        <v>0</v>
      </c>
      <c r="AJ127">
        <f t="shared" si="117"/>
        <v>0</v>
      </c>
      <c r="AK127">
        <v>27.91</v>
      </c>
      <c r="AL127">
        <v>0</v>
      </c>
      <c r="AM127">
        <v>27.91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1</v>
      </c>
      <c r="BA127">
        <v>21.43</v>
      </c>
      <c r="BB127">
        <v>8.66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65</v>
      </c>
      <c r="BM127">
        <v>1113</v>
      </c>
      <c r="BN127">
        <v>0</v>
      </c>
      <c r="BO127" t="s">
        <v>63</v>
      </c>
      <c r="BP127">
        <v>1</v>
      </c>
      <c r="BQ127">
        <v>150</v>
      </c>
      <c r="BR127">
        <v>0</v>
      </c>
      <c r="BS127">
        <v>21.43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0</v>
      </c>
      <c r="CA127">
        <v>0</v>
      </c>
      <c r="CE127">
        <v>30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18"/>
        <v>62.35</v>
      </c>
      <c r="CQ127">
        <f t="shared" si="119"/>
        <v>0</v>
      </c>
      <c r="CR127">
        <f>(ROUND((ROUND(((ET127)*AV127*1),2)*BB127),2)+ROUND((ROUND(((AE127-(EU127))*AV127*1),2)*BS127),2))</f>
        <v>241.7</v>
      </c>
      <c r="CS127">
        <f t="shared" si="120"/>
        <v>0</v>
      </c>
      <c r="CT127">
        <f t="shared" si="121"/>
        <v>0</v>
      </c>
      <c r="CU127">
        <f t="shared" si="122"/>
        <v>0</v>
      </c>
      <c r="CV127">
        <f t="shared" si="123"/>
        <v>0</v>
      </c>
      <c r="CW127">
        <f t="shared" si="124"/>
        <v>0</v>
      </c>
      <c r="CX127">
        <f t="shared" si="125"/>
        <v>0</v>
      </c>
      <c r="CY127">
        <f t="shared" si="126"/>
        <v>0</v>
      </c>
      <c r="CZ127">
        <f t="shared" si="127"/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1013</v>
      </c>
      <c r="DV127" t="s">
        <v>60</v>
      </c>
      <c r="DW127" t="s">
        <v>60</v>
      </c>
      <c r="DX127">
        <v>1</v>
      </c>
      <c r="EE127">
        <v>298189189</v>
      </c>
      <c r="EF127">
        <v>150</v>
      </c>
      <c r="EG127" t="s">
        <v>54</v>
      </c>
      <c r="EH127">
        <v>0</v>
      </c>
      <c r="EI127" t="s">
        <v>3</v>
      </c>
      <c r="EJ127">
        <v>4</v>
      </c>
      <c r="EK127">
        <v>1113</v>
      </c>
      <c r="EL127" t="s">
        <v>66</v>
      </c>
      <c r="EM127" t="s">
        <v>67</v>
      </c>
      <c r="EO127" t="s">
        <v>3</v>
      </c>
      <c r="EQ127">
        <v>256</v>
      </c>
      <c r="ER127">
        <v>27.91</v>
      </c>
      <c r="ES127">
        <v>0</v>
      </c>
      <c r="ET127">
        <v>27.91</v>
      </c>
      <c r="EU127">
        <v>0</v>
      </c>
      <c r="EV127">
        <v>0</v>
      </c>
      <c r="EW127">
        <v>0</v>
      </c>
      <c r="EX127">
        <v>0</v>
      </c>
      <c r="EY127">
        <v>0</v>
      </c>
      <c r="FQ127">
        <v>0</v>
      </c>
      <c r="FR127">
        <f t="shared" si="128"/>
        <v>0</v>
      </c>
      <c r="FS127">
        <v>0</v>
      </c>
      <c r="FX127">
        <v>0</v>
      </c>
      <c r="FY127">
        <v>0</v>
      </c>
      <c r="GA127" t="s">
        <v>3</v>
      </c>
      <c r="GD127">
        <v>1</v>
      </c>
      <c r="GF127">
        <v>-1712937699</v>
      </c>
      <c r="GG127">
        <v>2</v>
      </c>
      <c r="GH127">
        <v>1</v>
      </c>
      <c r="GI127">
        <v>2</v>
      </c>
      <c r="GJ127">
        <v>0</v>
      </c>
      <c r="GK127">
        <v>0</v>
      </c>
      <c r="GL127">
        <f t="shared" si="129"/>
        <v>0</v>
      </c>
      <c r="GM127">
        <f>ROUND(O127+X127+Y127,2)+GX127</f>
        <v>62.35</v>
      </c>
      <c r="GN127">
        <f>IF(OR(BI127=0,BI127=1),ROUND(O127+X127+Y127,2),0)</f>
        <v>0</v>
      </c>
      <c r="GO127">
        <f>IF(BI127=2,ROUND(O127+X127+Y127,2),0)</f>
        <v>0</v>
      </c>
      <c r="GP127">
        <f>IF(BI127=4,ROUND(O127+X127+Y127,2)+GX127,0)</f>
        <v>62.35</v>
      </c>
      <c r="GR127">
        <v>0</v>
      </c>
      <c r="GS127">
        <v>3</v>
      </c>
      <c r="GT127">
        <v>0</v>
      </c>
      <c r="GU127" t="s">
        <v>3</v>
      </c>
      <c r="GV127">
        <f t="shared" si="130"/>
        <v>0</v>
      </c>
      <c r="GW127">
        <v>1</v>
      </c>
      <c r="GX127">
        <f t="shared" si="131"/>
        <v>0</v>
      </c>
      <c r="HA127">
        <v>0</v>
      </c>
      <c r="HB127">
        <v>0</v>
      </c>
      <c r="HC127">
        <f t="shared" si="132"/>
        <v>0</v>
      </c>
      <c r="IK127">
        <v>0</v>
      </c>
    </row>
    <row r="128" spans="1:245" x14ac:dyDescent="0.2">
      <c r="A128">
        <v>17</v>
      </c>
      <c r="B128">
        <v>1</v>
      </c>
      <c r="C128">
        <f>ROW(SmtRes!A48)</f>
        <v>48</v>
      </c>
      <c r="D128">
        <f>ROW(EtalonRes!A46)</f>
        <v>46</v>
      </c>
      <c r="E128" t="s">
        <v>186</v>
      </c>
      <c r="F128" t="s">
        <v>69</v>
      </c>
      <c r="G128" t="s">
        <v>70</v>
      </c>
      <c r="H128" t="s">
        <v>60</v>
      </c>
      <c r="I128">
        <f>ROUND(I127,3)</f>
        <v>0.25800000000000001</v>
      </c>
      <c r="J128">
        <v>0</v>
      </c>
      <c r="O128">
        <f t="shared" si="107"/>
        <v>55.77</v>
      </c>
      <c r="P128">
        <f t="shared" si="108"/>
        <v>0</v>
      </c>
      <c r="Q128">
        <f>(ROUND((ROUND(((ET128)*AV128*I128),2)*BB128),2)+ROUND((ROUND(((AE128-(EU128))*AV128*I128),2)*BS128),2))</f>
        <v>55.77</v>
      </c>
      <c r="R128">
        <f t="shared" si="109"/>
        <v>0</v>
      </c>
      <c r="S128">
        <f t="shared" si="134"/>
        <v>0</v>
      </c>
      <c r="T128">
        <f t="shared" si="110"/>
        <v>0</v>
      </c>
      <c r="U128">
        <f t="shared" si="111"/>
        <v>0</v>
      </c>
      <c r="V128">
        <f t="shared" si="112"/>
        <v>0</v>
      </c>
      <c r="W128">
        <f t="shared" si="113"/>
        <v>0</v>
      </c>
      <c r="X128">
        <f t="shared" si="114"/>
        <v>0</v>
      </c>
      <c r="Y128">
        <f t="shared" si="115"/>
        <v>0</v>
      </c>
      <c r="AA128">
        <v>309315610</v>
      </c>
      <c r="AB128">
        <f t="shared" si="135"/>
        <v>101</v>
      </c>
      <c r="AC128">
        <f t="shared" si="133"/>
        <v>0</v>
      </c>
      <c r="AD128">
        <f>ROUND((((ET128)-(EU128))+AE128),6)</f>
        <v>101</v>
      </c>
      <c r="AE128">
        <f t="shared" si="136"/>
        <v>0</v>
      </c>
      <c r="AF128">
        <f t="shared" si="136"/>
        <v>0</v>
      </c>
      <c r="AG128">
        <f t="shared" si="116"/>
        <v>0</v>
      </c>
      <c r="AH128">
        <f t="shared" si="137"/>
        <v>0</v>
      </c>
      <c r="AI128">
        <f t="shared" si="137"/>
        <v>0</v>
      </c>
      <c r="AJ128">
        <f t="shared" si="117"/>
        <v>0</v>
      </c>
      <c r="AK128">
        <v>101</v>
      </c>
      <c r="AL128">
        <v>0</v>
      </c>
      <c r="AM128">
        <v>101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1</v>
      </c>
      <c r="AW128">
        <v>1</v>
      </c>
      <c r="AZ128">
        <v>1</v>
      </c>
      <c r="BA128">
        <v>21.43</v>
      </c>
      <c r="BB128">
        <v>2.14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4</v>
      </c>
      <c r="BJ128" t="s">
        <v>71</v>
      </c>
      <c r="BM128">
        <v>1110</v>
      </c>
      <c r="BN128">
        <v>0</v>
      </c>
      <c r="BO128" t="s">
        <v>69</v>
      </c>
      <c r="BP128">
        <v>1</v>
      </c>
      <c r="BQ128">
        <v>150</v>
      </c>
      <c r="BR128">
        <v>0</v>
      </c>
      <c r="BS128">
        <v>21.43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0</v>
      </c>
      <c r="CA128">
        <v>0</v>
      </c>
      <c r="CE128">
        <v>30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18"/>
        <v>55.77</v>
      </c>
      <c r="CQ128">
        <f t="shared" si="119"/>
        <v>0</v>
      </c>
      <c r="CR128">
        <f>(ROUND((ROUND(((ET128)*AV128*1),2)*BB128),2)+ROUND((ROUND(((AE128-(EU128))*AV128*1),2)*BS128),2))</f>
        <v>216.14</v>
      </c>
      <c r="CS128">
        <f t="shared" si="120"/>
        <v>0</v>
      </c>
      <c r="CT128">
        <f t="shared" si="121"/>
        <v>0</v>
      </c>
      <c r="CU128">
        <f t="shared" si="122"/>
        <v>0</v>
      </c>
      <c r="CV128">
        <f t="shared" si="123"/>
        <v>0</v>
      </c>
      <c r="CW128">
        <f t="shared" si="124"/>
        <v>0</v>
      </c>
      <c r="CX128">
        <f t="shared" si="125"/>
        <v>0</v>
      </c>
      <c r="CY128">
        <f t="shared" si="126"/>
        <v>0</v>
      </c>
      <c r="CZ128">
        <f t="shared" si="127"/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1013</v>
      </c>
      <c r="DV128" t="s">
        <v>60</v>
      </c>
      <c r="DW128" t="s">
        <v>60</v>
      </c>
      <c r="DX128">
        <v>1</v>
      </c>
      <c r="EE128">
        <v>298189186</v>
      </c>
      <c r="EF128">
        <v>150</v>
      </c>
      <c r="EG128" t="s">
        <v>54</v>
      </c>
      <c r="EH128">
        <v>0</v>
      </c>
      <c r="EI128" t="s">
        <v>3</v>
      </c>
      <c r="EJ128">
        <v>4</v>
      </c>
      <c r="EK128">
        <v>1110</v>
      </c>
      <c r="EL128" t="s">
        <v>72</v>
      </c>
      <c r="EM128" t="s">
        <v>73</v>
      </c>
      <c r="EO128" t="s">
        <v>3</v>
      </c>
      <c r="EQ128">
        <v>256</v>
      </c>
      <c r="ER128">
        <v>101</v>
      </c>
      <c r="ES128">
        <v>0</v>
      </c>
      <c r="ET128">
        <v>101</v>
      </c>
      <c r="EU128">
        <v>0</v>
      </c>
      <c r="EV128">
        <v>0</v>
      </c>
      <c r="EW128">
        <v>0</v>
      </c>
      <c r="EX128">
        <v>0</v>
      </c>
      <c r="EY128">
        <v>0</v>
      </c>
      <c r="FQ128">
        <v>0</v>
      </c>
      <c r="FR128">
        <f t="shared" si="128"/>
        <v>0</v>
      </c>
      <c r="FS128">
        <v>0</v>
      </c>
      <c r="FX128">
        <v>0</v>
      </c>
      <c r="FY128">
        <v>0</v>
      </c>
      <c r="GA128" t="s">
        <v>3</v>
      </c>
      <c r="GD128">
        <v>1</v>
      </c>
      <c r="GF128">
        <v>1935715050</v>
      </c>
      <c r="GG128">
        <v>2</v>
      </c>
      <c r="GH128">
        <v>1</v>
      </c>
      <c r="GI128">
        <v>2</v>
      </c>
      <c r="GJ128">
        <v>0</v>
      </c>
      <c r="GK128">
        <v>0</v>
      </c>
      <c r="GL128">
        <f t="shared" si="129"/>
        <v>0</v>
      </c>
      <c r="GM128">
        <f>ROUND(O128+X128+Y128,2)+GX128</f>
        <v>55.77</v>
      </c>
      <c r="GN128">
        <f>IF(OR(BI128=0,BI128=1),ROUND(O128+X128+Y128,2),0)</f>
        <v>0</v>
      </c>
      <c r="GO128">
        <f>IF(BI128=2,ROUND(O128+X128+Y128,2),0)</f>
        <v>0</v>
      </c>
      <c r="GP128">
        <f>IF(BI128=4,ROUND(O128+X128+Y128,2)+GX128,0)</f>
        <v>55.77</v>
      </c>
      <c r="GR128">
        <v>0</v>
      </c>
      <c r="GS128">
        <v>0</v>
      </c>
      <c r="GT128">
        <v>0</v>
      </c>
      <c r="GU128" t="s">
        <v>3</v>
      </c>
      <c r="GV128">
        <f t="shared" si="130"/>
        <v>0</v>
      </c>
      <c r="GW128">
        <v>1</v>
      </c>
      <c r="GX128">
        <f t="shared" si="131"/>
        <v>0</v>
      </c>
      <c r="HA128">
        <v>0</v>
      </c>
      <c r="HB128">
        <v>0</v>
      </c>
      <c r="HC128">
        <f t="shared" si="132"/>
        <v>0</v>
      </c>
      <c r="IK128">
        <v>0</v>
      </c>
    </row>
    <row r="130" spans="1:206" x14ac:dyDescent="0.2">
      <c r="A130" s="2">
        <v>51</v>
      </c>
      <c r="B130" s="2">
        <f>B114</f>
        <v>1</v>
      </c>
      <c r="C130" s="2">
        <f>A114</f>
        <v>4</v>
      </c>
      <c r="D130" s="2">
        <f>ROW(A114)</f>
        <v>114</v>
      </c>
      <c r="E130" s="2"/>
      <c r="F130" s="2" t="str">
        <f>IF(F114&lt;&gt;"",F114,"")</f>
        <v>Новый раздел</v>
      </c>
      <c r="G130" s="2" t="str">
        <f>IF(G114&lt;&gt;"",G114,"")</f>
        <v>ТЕПЛОВАЯ КАМЕРА монолитная 3.5х3.5х2,0(h)м   - 1шт</v>
      </c>
      <c r="H130" s="2">
        <v>0</v>
      </c>
      <c r="I130" s="2"/>
      <c r="J130" s="2"/>
      <c r="K130" s="2"/>
      <c r="L130" s="2"/>
      <c r="M130" s="2"/>
      <c r="N130" s="2"/>
      <c r="O130" s="2">
        <f t="shared" ref="O130:T130" si="138">ROUND(AB130,2)</f>
        <v>390327.51</v>
      </c>
      <c r="P130" s="2">
        <f t="shared" si="138"/>
        <v>366260.94</v>
      </c>
      <c r="Q130" s="2">
        <f t="shared" si="138"/>
        <v>23949.99</v>
      </c>
      <c r="R130" s="2">
        <f t="shared" si="138"/>
        <v>1160.8599999999999</v>
      </c>
      <c r="S130" s="2">
        <f t="shared" si="138"/>
        <v>116.58</v>
      </c>
      <c r="T130" s="2">
        <f t="shared" si="138"/>
        <v>0</v>
      </c>
      <c r="U130" s="2">
        <f>AH130</f>
        <v>0.53214455999999999</v>
      </c>
      <c r="V130" s="2">
        <f>AI130</f>
        <v>0</v>
      </c>
      <c r="W130" s="2">
        <f>ROUND(AJ130,2)</f>
        <v>0</v>
      </c>
      <c r="X130" s="2">
        <f>ROUND(AK130,2)</f>
        <v>107.25</v>
      </c>
      <c r="Y130" s="2">
        <f>ROUND(AL130,2)</f>
        <v>58.29</v>
      </c>
      <c r="Z130" s="2"/>
      <c r="AA130" s="2"/>
      <c r="AB130" s="2">
        <f>ROUND(SUMIF(AA118:AA128,"=309315610",O118:O128),2)</f>
        <v>390327.51</v>
      </c>
      <c r="AC130" s="2">
        <f>ROUND(SUMIF(AA118:AA128,"=309315610",P118:P128),2)</f>
        <v>366260.94</v>
      </c>
      <c r="AD130" s="2">
        <f>ROUND(SUMIF(AA118:AA128,"=309315610",Q118:Q128),2)</f>
        <v>23949.99</v>
      </c>
      <c r="AE130" s="2">
        <f>ROUND(SUMIF(AA118:AA128,"=309315610",R118:R128),2)</f>
        <v>1160.8599999999999</v>
      </c>
      <c r="AF130" s="2">
        <f>ROUND(SUMIF(AA118:AA128,"=309315610",S118:S128),2)</f>
        <v>116.58</v>
      </c>
      <c r="AG130" s="2">
        <f>ROUND(SUMIF(AA118:AA128,"=309315610",T118:T128),2)</f>
        <v>0</v>
      </c>
      <c r="AH130" s="2">
        <f>SUMIF(AA118:AA128,"=309315610",U118:U128)</f>
        <v>0.53214455999999999</v>
      </c>
      <c r="AI130" s="2">
        <f>SUMIF(AA118:AA128,"=309315610",V118:V128)</f>
        <v>0</v>
      </c>
      <c r="AJ130" s="2">
        <f>ROUND(SUMIF(AA118:AA128,"=309315610",W118:W128),2)</f>
        <v>0</v>
      </c>
      <c r="AK130" s="2">
        <f>ROUND(SUMIF(AA118:AA128,"=309315610",X118:X128),2)</f>
        <v>107.25</v>
      </c>
      <c r="AL130" s="2">
        <f>ROUND(SUMIF(AA118:AA128,"=309315610",Y118:Y128),2)</f>
        <v>58.29</v>
      </c>
      <c r="AM130" s="2"/>
      <c r="AN130" s="2"/>
      <c r="AO130" s="2">
        <f t="shared" ref="AO130:BC130" si="139">ROUND(BX130,2)</f>
        <v>0</v>
      </c>
      <c r="AP130" s="2">
        <f t="shared" si="139"/>
        <v>0</v>
      </c>
      <c r="AQ130" s="2">
        <f t="shared" si="139"/>
        <v>0</v>
      </c>
      <c r="AR130" s="2">
        <f t="shared" si="139"/>
        <v>798190</v>
      </c>
      <c r="AS130" s="2">
        <f t="shared" si="139"/>
        <v>779868.15</v>
      </c>
      <c r="AT130" s="2">
        <f t="shared" si="139"/>
        <v>0</v>
      </c>
      <c r="AU130" s="2">
        <f t="shared" si="139"/>
        <v>21338.44</v>
      </c>
      <c r="AV130" s="2">
        <f t="shared" si="139"/>
        <v>366260.94</v>
      </c>
      <c r="AW130" s="2">
        <f t="shared" si="139"/>
        <v>366260.94</v>
      </c>
      <c r="AX130" s="2">
        <f t="shared" si="139"/>
        <v>0</v>
      </c>
      <c r="AY130" s="2">
        <f t="shared" si="139"/>
        <v>366260.94</v>
      </c>
      <c r="AZ130" s="2">
        <f t="shared" si="139"/>
        <v>0</v>
      </c>
      <c r="BA130" s="2">
        <f t="shared" si="139"/>
        <v>-3016.59</v>
      </c>
      <c r="BB130" s="2">
        <f t="shared" si="139"/>
        <v>100428.25</v>
      </c>
      <c r="BC130" s="2">
        <f t="shared" si="139"/>
        <v>308462.74</v>
      </c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>
        <f>ROUND(SUMIF(AA118:AA128,"=309315610",FQ118:FQ128),2)</f>
        <v>0</v>
      </c>
      <c r="BY130" s="2">
        <f>ROUND(SUMIF(AA118:AA128,"=309315610",FR118:FR128),2)</f>
        <v>0</v>
      </c>
      <c r="BZ130" s="2">
        <f>ROUND(SUMIF(AA118:AA128,"=309315610",GL118:GL128),2)</f>
        <v>0</v>
      </c>
      <c r="CA130" s="2">
        <f>ROUND(SUMIF(AA118:AA128,"=309315610",GM118:GM128),2)</f>
        <v>798190</v>
      </c>
      <c r="CB130" s="2">
        <f>ROUND(SUMIF(AA118:AA128,"=309315610",GN118:GN128),2)</f>
        <v>779868.15</v>
      </c>
      <c r="CC130" s="2">
        <f>ROUND(SUMIF(AA118:AA128,"=309315610",GO118:GO128),2)</f>
        <v>0</v>
      </c>
      <c r="CD130" s="2">
        <f>ROUND(SUMIF(AA118:AA128,"=309315610",GP118:GP128),2)</f>
        <v>21338.44</v>
      </c>
      <c r="CE130" s="2">
        <f>AC130-BX130</f>
        <v>366260.94</v>
      </c>
      <c r="CF130" s="2">
        <f>AC130-BY130</f>
        <v>366260.94</v>
      </c>
      <c r="CG130" s="2">
        <f>BX130-BZ130</f>
        <v>0</v>
      </c>
      <c r="CH130" s="2">
        <f>AC130-BX130-BY130+BZ130</f>
        <v>366260.94</v>
      </c>
      <c r="CI130" s="2">
        <f>BY130-BZ130</f>
        <v>0</v>
      </c>
      <c r="CJ130" s="2">
        <f>ROUND(SUMIF(AA118:AA128,"=309315610",GX118:GX128),2)</f>
        <v>-3016.59</v>
      </c>
      <c r="CK130" s="2">
        <f>ROUND(SUMIF(AA118:AA128,"=309315610",GY118:GY128),2)</f>
        <v>100428.25</v>
      </c>
      <c r="CL130" s="2">
        <f>ROUND(SUMIF(AA118:AA128,"=309315610",GZ118:GZ128),2)</f>
        <v>308462.74</v>
      </c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>
        <v>0</v>
      </c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201</v>
      </c>
      <c r="F132" s="4">
        <f>ROUND(Source!O130,O132)</f>
        <v>390327.51</v>
      </c>
      <c r="G132" s="4" t="s">
        <v>74</v>
      </c>
      <c r="H132" s="4" t="s">
        <v>75</v>
      </c>
      <c r="I132" s="4"/>
      <c r="J132" s="4"/>
      <c r="K132" s="4">
        <v>201</v>
      </c>
      <c r="L132" s="4">
        <v>1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202</v>
      </c>
      <c r="F133" s="4">
        <f>ROUND(Source!P130,O133)</f>
        <v>366260.94</v>
      </c>
      <c r="G133" s="4" t="s">
        <v>76</v>
      </c>
      <c r="H133" s="4" t="s">
        <v>77</v>
      </c>
      <c r="I133" s="4"/>
      <c r="J133" s="4"/>
      <c r="K133" s="4">
        <v>202</v>
      </c>
      <c r="L133" s="4">
        <v>2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222</v>
      </c>
      <c r="F134" s="4">
        <f>ROUND(Source!AO130,O134)</f>
        <v>0</v>
      </c>
      <c r="G134" s="4" t="s">
        <v>78</v>
      </c>
      <c r="H134" s="4" t="s">
        <v>79</v>
      </c>
      <c r="I134" s="4"/>
      <c r="J134" s="4"/>
      <c r="K134" s="4">
        <v>222</v>
      </c>
      <c r="L134" s="4">
        <v>3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225</v>
      </c>
      <c r="F135" s="4">
        <f>ROUND(Source!AV130,O135)</f>
        <v>366260.94</v>
      </c>
      <c r="G135" s="4" t="s">
        <v>80</v>
      </c>
      <c r="H135" s="4" t="s">
        <v>81</v>
      </c>
      <c r="I135" s="4"/>
      <c r="J135" s="4"/>
      <c r="K135" s="4">
        <v>225</v>
      </c>
      <c r="L135" s="4">
        <v>4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226</v>
      </c>
      <c r="F136" s="4">
        <f>ROUND(Source!AW130,O136)</f>
        <v>366260.94</v>
      </c>
      <c r="G136" s="4" t="s">
        <v>82</v>
      </c>
      <c r="H136" s="4" t="s">
        <v>83</v>
      </c>
      <c r="I136" s="4"/>
      <c r="J136" s="4"/>
      <c r="K136" s="4">
        <v>226</v>
      </c>
      <c r="L136" s="4">
        <v>5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227</v>
      </c>
      <c r="F137" s="4">
        <f>ROUND(Source!AX130,O137)</f>
        <v>0</v>
      </c>
      <c r="G137" s="4" t="s">
        <v>84</v>
      </c>
      <c r="H137" s="4" t="s">
        <v>85</v>
      </c>
      <c r="I137" s="4"/>
      <c r="J137" s="4"/>
      <c r="K137" s="4">
        <v>227</v>
      </c>
      <c r="L137" s="4">
        <v>6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228</v>
      </c>
      <c r="F138" s="4">
        <f>ROUND(Source!AY130,O138)</f>
        <v>366260.94</v>
      </c>
      <c r="G138" s="4" t="s">
        <v>86</v>
      </c>
      <c r="H138" s="4" t="s">
        <v>87</v>
      </c>
      <c r="I138" s="4"/>
      <c r="J138" s="4"/>
      <c r="K138" s="4">
        <v>228</v>
      </c>
      <c r="L138" s="4">
        <v>7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216</v>
      </c>
      <c r="F139" s="4">
        <f>ROUND(Source!AP130,O139)</f>
        <v>0</v>
      </c>
      <c r="G139" s="4" t="s">
        <v>88</v>
      </c>
      <c r="H139" s="4" t="s">
        <v>89</v>
      </c>
      <c r="I139" s="4"/>
      <c r="J139" s="4"/>
      <c r="K139" s="4">
        <v>216</v>
      </c>
      <c r="L139" s="4">
        <v>8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223</v>
      </c>
      <c r="F140" s="4">
        <f>ROUND(Source!AQ130,O140)</f>
        <v>0</v>
      </c>
      <c r="G140" s="4" t="s">
        <v>90</v>
      </c>
      <c r="H140" s="4" t="s">
        <v>91</v>
      </c>
      <c r="I140" s="4"/>
      <c r="J140" s="4"/>
      <c r="K140" s="4">
        <v>223</v>
      </c>
      <c r="L140" s="4">
        <v>9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229</v>
      </c>
      <c r="F141" s="4">
        <f>ROUND(Source!AZ130,O141)</f>
        <v>0</v>
      </c>
      <c r="G141" s="4" t="s">
        <v>92</v>
      </c>
      <c r="H141" s="4" t="s">
        <v>93</v>
      </c>
      <c r="I141" s="4"/>
      <c r="J141" s="4"/>
      <c r="K141" s="4">
        <v>229</v>
      </c>
      <c r="L141" s="4">
        <v>10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203</v>
      </c>
      <c r="F142" s="4">
        <f>ROUND(Source!Q130,O142)</f>
        <v>23949.99</v>
      </c>
      <c r="G142" s="4" t="s">
        <v>94</v>
      </c>
      <c r="H142" s="4" t="s">
        <v>95</v>
      </c>
      <c r="I142" s="4"/>
      <c r="J142" s="4"/>
      <c r="K142" s="4">
        <v>203</v>
      </c>
      <c r="L142" s="4">
        <v>11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231</v>
      </c>
      <c r="F143" s="4">
        <f>ROUND(Source!BB130,O143)</f>
        <v>100428.25</v>
      </c>
      <c r="G143" s="4" t="s">
        <v>96</v>
      </c>
      <c r="H143" s="4" t="s">
        <v>97</v>
      </c>
      <c r="I143" s="4"/>
      <c r="J143" s="4"/>
      <c r="K143" s="4">
        <v>231</v>
      </c>
      <c r="L143" s="4">
        <v>12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204</v>
      </c>
      <c r="F144" s="4">
        <f>ROUND(Source!R130,O144)</f>
        <v>1160.8599999999999</v>
      </c>
      <c r="G144" s="4" t="s">
        <v>98</v>
      </c>
      <c r="H144" s="4" t="s">
        <v>99</v>
      </c>
      <c r="I144" s="4"/>
      <c r="J144" s="4"/>
      <c r="K144" s="4">
        <v>204</v>
      </c>
      <c r="L144" s="4">
        <v>13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88" x14ac:dyDescent="0.2">
      <c r="A145" s="4">
        <v>50</v>
      </c>
      <c r="B145" s="4">
        <v>0</v>
      </c>
      <c r="C145" s="4">
        <v>0</v>
      </c>
      <c r="D145" s="4">
        <v>1</v>
      </c>
      <c r="E145" s="4">
        <v>205</v>
      </c>
      <c r="F145" s="4">
        <f>ROUND(Source!S130,O145)</f>
        <v>116.58</v>
      </c>
      <c r="G145" s="4" t="s">
        <v>100</v>
      </c>
      <c r="H145" s="4" t="s">
        <v>101</v>
      </c>
      <c r="I145" s="4"/>
      <c r="J145" s="4"/>
      <c r="K145" s="4">
        <v>205</v>
      </c>
      <c r="L145" s="4">
        <v>14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88" x14ac:dyDescent="0.2">
      <c r="A146" s="4">
        <v>50</v>
      </c>
      <c r="B146" s="4">
        <v>0</v>
      </c>
      <c r="C146" s="4">
        <v>0</v>
      </c>
      <c r="D146" s="4">
        <v>1</v>
      </c>
      <c r="E146" s="4">
        <v>232</v>
      </c>
      <c r="F146" s="4">
        <f>ROUND(Source!BC130,O146)</f>
        <v>308462.74</v>
      </c>
      <c r="G146" s="4" t="s">
        <v>102</v>
      </c>
      <c r="H146" s="4" t="s">
        <v>103</v>
      </c>
      <c r="I146" s="4"/>
      <c r="J146" s="4"/>
      <c r="K146" s="4">
        <v>232</v>
      </c>
      <c r="L146" s="4">
        <v>15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88" x14ac:dyDescent="0.2">
      <c r="A147" s="4">
        <v>50</v>
      </c>
      <c r="B147" s="4">
        <v>0</v>
      </c>
      <c r="C147" s="4">
        <v>0</v>
      </c>
      <c r="D147" s="4">
        <v>1</v>
      </c>
      <c r="E147" s="4">
        <v>214</v>
      </c>
      <c r="F147" s="4">
        <f>ROUND(Source!AS130,O147)</f>
        <v>779868.15</v>
      </c>
      <c r="G147" s="4" t="s">
        <v>104</v>
      </c>
      <c r="H147" s="4" t="s">
        <v>105</v>
      </c>
      <c r="I147" s="4"/>
      <c r="J147" s="4"/>
      <c r="K147" s="4">
        <v>214</v>
      </c>
      <c r="L147" s="4">
        <v>16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88" x14ac:dyDescent="0.2">
      <c r="A148" s="4">
        <v>50</v>
      </c>
      <c r="B148" s="4">
        <v>0</v>
      </c>
      <c r="C148" s="4">
        <v>0</v>
      </c>
      <c r="D148" s="4">
        <v>1</v>
      </c>
      <c r="E148" s="4">
        <v>215</v>
      </c>
      <c r="F148" s="4">
        <f>ROUND(Source!AT130,O148)</f>
        <v>0</v>
      </c>
      <c r="G148" s="4" t="s">
        <v>106</v>
      </c>
      <c r="H148" s="4" t="s">
        <v>107</v>
      </c>
      <c r="I148" s="4"/>
      <c r="J148" s="4"/>
      <c r="K148" s="4">
        <v>215</v>
      </c>
      <c r="L148" s="4">
        <v>17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88" x14ac:dyDescent="0.2">
      <c r="A149" s="4">
        <v>50</v>
      </c>
      <c r="B149" s="4">
        <v>0</v>
      </c>
      <c r="C149" s="4">
        <v>0</v>
      </c>
      <c r="D149" s="4">
        <v>1</v>
      </c>
      <c r="E149" s="4">
        <v>217</v>
      </c>
      <c r="F149" s="4">
        <f>ROUND(Source!AU130,O149)</f>
        <v>21338.44</v>
      </c>
      <c r="G149" s="4" t="s">
        <v>108</v>
      </c>
      <c r="H149" s="4" t="s">
        <v>109</v>
      </c>
      <c r="I149" s="4"/>
      <c r="J149" s="4"/>
      <c r="K149" s="4">
        <v>217</v>
      </c>
      <c r="L149" s="4">
        <v>18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88" x14ac:dyDescent="0.2">
      <c r="A150" s="4">
        <v>50</v>
      </c>
      <c r="B150" s="4">
        <v>0</v>
      </c>
      <c r="C150" s="4">
        <v>0</v>
      </c>
      <c r="D150" s="4">
        <v>1</v>
      </c>
      <c r="E150" s="4">
        <v>230</v>
      </c>
      <c r="F150" s="4">
        <f>ROUND(Source!BA130,O150)</f>
        <v>-3016.59</v>
      </c>
      <c r="G150" s="4" t="s">
        <v>110</v>
      </c>
      <c r="H150" s="4" t="s">
        <v>111</v>
      </c>
      <c r="I150" s="4"/>
      <c r="J150" s="4"/>
      <c r="K150" s="4">
        <v>230</v>
      </c>
      <c r="L150" s="4">
        <v>19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88" x14ac:dyDescent="0.2">
      <c r="A151" s="4">
        <v>50</v>
      </c>
      <c r="B151" s="4">
        <v>0</v>
      </c>
      <c r="C151" s="4">
        <v>0</v>
      </c>
      <c r="D151" s="4">
        <v>1</v>
      </c>
      <c r="E151" s="4">
        <v>206</v>
      </c>
      <c r="F151" s="4">
        <f>ROUND(Source!T130,O151)</f>
        <v>0</v>
      </c>
      <c r="G151" s="4" t="s">
        <v>112</v>
      </c>
      <c r="H151" s="4" t="s">
        <v>113</v>
      </c>
      <c r="I151" s="4"/>
      <c r="J151" s="4"/>
      <c r="K151" s="4">
        <v>206</v>
      </c>
      <c r="L151" s="4">
        <v>20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88" x14ac:dyDescent="0.2">
      <c r="A152" s="4">
        <v>50</v>
      </c>
      <c r="B152" s="4">
        <v>0</v>
      </c>
      <c r="C152" s="4">
        <v>0</v>
      </c>
      <c r="D152" s="4">
        <v>1</v>
      </c>
      <c r="E152" s="4">
        <v>207</v>
      </c>
      <c r="F152" s="4">
        <f>Source!U130</f>
        <v>0.53214455999999999</v>
      </c>
      <c r="G152" s="4" t="s">
        <v>114</v>
      </c>
      <c r="H152" s="4" t="s">
        <v>115</v>
      </c>
      <c r="I152" s="4"/>
      <c r="J152" s="4"/>
      <c r="K152" s="4">
        <v>207</v>
      </c>
      <c r="L152" s="4">
        <v>21</v>
      </c>
      <c r="M152" s="4">
        <v>3</v>
      </c>
      <c r="N152" s="4" t="s">
        <v>3</v>
      </c>
      <c r="O152" s="4">
        <v>-1</v>
      </c>
      <c r="P152" s="4"/>
      <c r="Q152" s="4"/>
      <c r="R152" s="4"/>
      <c r="S152" s="4"/>
      <c r="T152" s="4"/>
      <c r="U152" s="4"/>
      <c r="V152" s="4"/>
      <c r="W152" s="4"/>
    </row>
    <row r="153" spans="1:88" x14ac:dyDescent="0.2">
      <c r="A153" s="4">
        <v>50</v>
      </c>
      <c r="B153" s="4">
        <v>0</v>
      </c>
      <c r="C153" s="4">
        <v>0</v>
      </c>
      <c r="D153" s="4">
        <v>1</v>
      </c>
      <c r="E153" s="4">
        <v>208</v>
      </c>
      <c r="F153" s="4">
        <f>Source!V130</f>
        <v>0</v>
      </c>
      <c r="G153" s="4" t="s">
        <v>116</v>
      </c>
      <c r="H153" s="4" t="s">
        <v>117</v>
      </c>
      <c r="I153" s="4"/>
      <c r="J153" s="4"/>
      <c r="K153" s="4">
        <v>208</v>
      </c>
      <c r="L153" s="4">
        <v>22</v>
      </c>
      <c r="M153" s="4">
        <v>3</v>
      </c>
      <c r="N153" s="4" t="s">
        <v>3</v>
      </c>
      <c r="O153" s="4">
        <v>-1</v>
      </c>
      <c r="P153" s="4"/>
      <c r="Q153" s="4"/>
      <c r="R153" s="4"/>
      <c r="S153" s="4"/>
      <c r="T153" s="4"/>
      <c r="U153" s="4"/>
      <c r="V153" s="4"/>
      <c r="W153" s="4"/>
    </row>
    <row r="154" spans="1:88" x14ac:dyDescent="0.2">
      <c r="A154" s="4">
        <v>50</v>
      </c>
      <c r="B154" s="4">
        <v>0</v>
      </c>
      <c r="C154" s="4">
        <v>0</v>
      </c>
      <c r="D154" s="4">
        <v>1</v>
      </c>
      <c r="E154" s="4">
        <v>209</v>
      </c>
      <c r="F154" s="4">
        <f>ROUND(Source!W130,O154)</f>
        <v>0</v>
      </c>
      <c r="G154" s="4" t="s">
        <v>118</v>
      </c>
      <c r="H154" s="4" t="s">
        <v>119</v>
      </c>
      <c r="I154" s="4"/>
      <c r="J154" s="4"/>
      <c r="K154" s="4">
        <v>209</v>
      </c>
      <c r="L154" s="4">
        <v>23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88" x14ac:dyDescent="0.2">
      <c r="A155" s="4">
        <v>50</v>
      </c>
      <c r="B155" s="4">
        <v>0</v>
      </c>
      <c r="C155" s="4">
        <v>0</v>
      </c>
      <c r="D155" s="4">
        <v>1</v>
      </c>
      <c r="E155" s="4">
        <v>210</v>
      </c>
      <c r="F155" s="4">
        <f>ROUND(Source!X130,O155)</f>
        <v>107.25</v>
      </c>
      <c r="G155" s="4" t="s">
        <v>120</v>
      </c>
      <c r="H155" s="4" t="s">
        <v>121</v>
      </c>
      <c r="I155" s="4"/>
      <c r="J155" s="4"/>
      <c r="K155" s="4">
        <v>210</v>
      </c>
      <c r="L155" s="4">
        <v>24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88" x14ac:dyDescent="0.2">
      <c r="A156" s="4">
        <v>50</v>
      </c>
      <c r="B156" s="4">
        <v>0</v>
      </c>
      <c r="C156" s="4">
        <v>0</v>
      </c>
      <c r="D156" s="4">
        <v>1</v>
      </c>
      <c r="E156" s="4">
        <v>211</v>
      </c>
      <c r="F156" s="4">
        <f>ROUND(Source!Y130,O156)</f>
        <v>58.29</v>
      </c>
      <c r="G156" s="4" t="s">
        <v>122</v>
      </c>
      <c r="H156" s="4" t="s">
        <v>123</v>
      </c>
      <c r="I156" s="4"/>
      <c r="J156" s="4"/>
      <c r="K156" s="4">
        <v>211</v>
      </c>
      <c r="L156" s="4">
        <v>25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88" x14ac:dyDescent="0.2">
      <c r="A157" s="4">
        <v>50</v>
      </c>
      <c r="B157" s="4">
        <v>0</v>
      </c>
      <c r="C157" s="4">
        <v>0</v>
      </c>
      <c r="D157" s="4">
        <v>1</v>
      </c>
      <c r="E157" s="4">
        <v>224</v>
      </c>
      <c r="F157" s="4">
        <f>ROUND(Source!AR130,O157)</f>
        <v>798190</v>
      </c>
      <c r="G157" s="4" t="s">
        <v>124</v>
      </c>
      <c r="H157" s="4" t="s">
        <v>125</v>
      </c>
      <c r="I157" s="4"/>
      <c r="J157" s="4"/>
      <c r="K157" s="4">
        <v>224</v>
      </c>
      <c r="L157" s="4">
        <v>26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9" spans="1:88" x14ac:dyDescent="0.2">
      <c r="A159" s="1">
        <v>4</v>
      </c>
      <c r="B159" s="1">
        <v>1</v>
      </c>
      <c r="C159" s="1"/>
      <c r="D159" s="1">
        <f>ROW(A170)</f>
        <v>170</v>
      </c>
      <c r="E159" s="1"/>
      <c r="F159" s="1" t="s">
        <v>12</v>
      </c>
      <c r="G159" s="1" t="s">
        <v>187</v>
      </c>
      <c r="H159" s="1" t="s">
        <v>3</v>
      </c>
      <c r="I159" s="1">
        <v>0</v>
      </c>
      <c r="J159" s="1"/>
      <c r="K159" s="1">
        <v>-1</v>
      </c>
      <c r="L159" s="1"/>
      <c r="M159" s="1"/>
      <c r="N159" s="1"/>
      <c r="O159" s="1"/>
      <c r="P159" s="1"/>
      <c r="Q159" s="1"/>
      <c r="R159" s="1"/>
      <c r="S159" s="1"/>
      <c r="T159" s="1"/>
      <c r="U159" s="1" t="s">
        <v>3</v>
      </c>
      <c r="V159" s="1">
        <v>0</v>
      </c>
      <c r="W159" s="1"/>
      <c r="X159" s="1"/>
      <c r="Y159" s="1"/>
      <c r="Z159" s="1"/>
      <c r="AA159" s="1"/>
      <c r="AB159" s="1" t="s">
        <v>3</v>
      </c>
      <c r="AC159" s="1" t="s">
        <v>3</v>
      </c>
      <c r="AD159" s="1" t="s">
        <v>3</v>
      </c>
      <c r="AE159" s="1" t="s">
        <v>3</v>
      </c>
      <c r="AF159" s="1" t="s">
        <v>3</v>
      </c>
      <c r="AG159" s="1" t="s">
        <v>3</v>
      </c>
      <c r="AH159" s="1"/>
      <c r="AI159" s="1"/>
      <c r="AJ159" s="1"/>
      <c r="AK159" s="1"/>
      <c r="AL159" s="1"/>
      <c r="AM159" s="1"/>
      <c r="AN159" s="1"/>
      <c r="AO159" s="1"/>
      <c r="AP159" s="1" t="s">
        <v>3</v>
      </c>
      <c r="AQ159" s="1" t="s">
        <v>3</v>
      </c>
      <c r="AR159" s="1" t="s">
        <v>3</v>
      </c>
      <c r="AS159" s="1"/>
      <c r="AT159" s="1"/>
      <c r="AU159" s="1"/>
      <c r="AV159" s="1"/>
      <c r="AW159" s="1"/>
      <c r="AX159" s="1"/>
      <c r="AY159" s="1"/>
      <c r="AZ159" s="1" t="s">
        <v>3</v>
      </c>
      <c r="BA159" s="1"/>
      <c r="BB159" s="1" t="s">
        <v>3</v>
      </c>
      <c r="BC159" s="1" t="s">
        <v>3</v>
      </c>
      <c r="BD159" s="1" t="s">
        <v>3</v>
      </c>
      <c r="BE159" s="1" t="s">
        <v>3</v>
      </c>
      <c r="BF159" s="1" t="s">
        <v>3</v>
      </c>
      <c r="BG159" s="1" t="s">
        <v>3</v>
      </c>
      <c r="BH159" s="1" t="s">
        <v>3</v>
      </c>
      <c r="BI159" s="1" t="s">
        <v>3</v>
      </c>
      <c r="BJ159" s="1" t="s">
        <v>3</v>
      </c>
      <c r="BK159" s="1" t="s">
        <v>3</v>
      </c>
      <c r="BL159" s="1" t="s">
        <v>3</v>
      </c>
      <c r="BM159" s="1" t="s">
        <v>3</v>
      </c>
      <c r="BN159" s="1" t="s">
        <v>3</v>
      </c>
      <c r="BO159" s="1" t="s">
        <v>3</v>
      </c>
      <c r="BP159" s="1" t="s">
        <v>3</v>
      </c>
      <c r="BQ159" s="1"/>
      <c r="BR159" s="1"/>
      <c r="BS159" s="1"/>
      <c r="BT159" s="1"/>
      <c r="BU159" s="1"/>
      <c r="BV159" s="1"/>
      <c r="BW159" s="1"/>
      <c r="BX159" s="1">
        <v>0</v>
      </c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>
        <v>0</v>
      </c>
    </row>
    <row r="161" spans="1:245" x14ac:dyDescent="0.2">
      <c r="A161" s="2">
        <v>52</v>
      </c>
      <c r="B161" s="2">
        <f t="shared" ref="B161:G161" si="140">B170</f>
        <v>1</v>
      </c>
      <c r="C161" s="2">
        <f t="shared" si="140"/>
        <v>4</v>
      </c>
      <c r="D161" s="2">
        <f t="shared" si="140"/>
        <v>159</v>
      </c>
      <c r="E161" s="2">
        <f t="shared" si="140"/>
        <v>0</v>
      </c>
      <c r="F161" s="2" t="str">
        <f t="shared" si="140"/>
        <v>Новый раздел</v>
      </c>
      <c r="G161" s="2" t="str">
        <f t="shared" si="140"/>
        <v>ВОДОВЫПУСК Ду100мм труба на ж/б основании   - 50м</v>
      </c>
      <c r="H161" s="2"/>
      <c r="I161" s="2"/>
      <c r="J161" s="2"/>
      <c r="K161" s="2"/>
      <c r="L161" s="2"/>
      <c r="M161" s="2"/>
      <c r="N161" s="2"/>
      <c r="O161" s="2">
        <f t="shared" ref="O161:AT161" si="141">O170</f>
        <v>102836.83</v>
      </c>
      <c r="P161" s="2">
        <f t="shared" si="141"/>
        <v>69708.88</v>
      </c>
      <c r="Q161" s="2">
        <f t="shared" si="141"/>
        <v>32966.800000000003</v>
      </c>
      <c r="R161" s="2">
        <f t="shared" si="141"/>
        <v>1605.75</v>
      </c>
      <c r="S161" s="2">
        <f t="shared" si="141"/>
        <v>161.15</v>
      </c>
      <c r="T161" s="2">
        <f t="shared" si="141"/>
        <v>0</v>
      </c>
      <c r="U161" s="2">
        <f t="shared" si="141"/>
        <v>0.73611959999999987</v>
      </c>
      <c r="V161" s="2">
        <f t="shared" si="141"/>
        <v>0</v>
      </c>
      <c r="W161" s="2">
        <f t="shared" si="141"/>
        <v>0</v>
      </c>
      <c r="X161" s="2">
        <f t="shared" si="141"/>
        <v>148.26</v>
      </c>
      <c r="Y161" s="2">
        <f t="shared" si="141"/>
        <v>80.58</v>
      </c>
      <c r="Z161" s="2">
        <f t="shared" si="141"/>
        <v>0</v>
      </c>
      <c r="AA161" s="2">
        <f t="shared" si="141"/>
        <v>0</v>
      </c>
      <c r="AB161" s="2">
        <f t="shared" si="141"/>
        <v>102836.83</v>
      </c>
      <c r="AC161" s="2">
        <f t="shared" si="141"/>
        <v>69708.88</v>
      </c>
      <c r="AD161" s="2">
        <f t="shared" si="141"/>
        <v>32966.800000000003</v>
      </c>
      <c r="AE161" s="2">
        <f t="shared" si="141"/>
        <v>1605.75</v>
      </c>
      <c r="AF161" s="2">
        <f t="shared" si="141"/>
        <v>161.15</v>
      </c>
      <c r="AG161" s="2">
        <f t="shared" si="141"/>
        <v>0</v>
      </c>
      <c r="AH161" s="2">
        <f t="shared" si="141"/>
        <v>0.73611959999999987</v>
      </c>
      <c r="AI161" s="2">
        <f t="shared" si="141"/>
        <v>0</v>
      </c>
      <c r="AJ161" s="2">
        <f t="shared" si="141"/>
        <v>0</v>
      </c>
      <c r="AK161" s="2">
        <f t="shared" si="141"/>
        <v>148.26</v>
      </c>
      <c r="AL161" s="2">
        <f t="shared" si="141"/>
        <v>80.58</v>
      </c>
      <c r="AM161" s="2">
        <f t="shared" si="141"/>
        <v>0</v>
      </c>
      <c r="AN161" s="2">
        <f t="shared" si="141"/>
        <v>0</v>
      </c>
      <c r="AO161" s="2">
        <f t="shared" si="141"/>
        <v>0</v>
      </c>
      <c r="AP161" s="2">
        <f t="shared" si="141"/>
        <v>0</v>
      </c>
      <c r="AQ161" s="2">
        <f t="shared" si="141"/>
        <v>0</v>
      </c>
      <c r="AR161" s="2">
        <f t="shared" si="141"/>
        <v>320998.09999999998</v>
      </c>
      <c r="AS161" s="2">
        <f t="shared" si="141"/>
        <v>241968.36</v>
      </c>
      <c r="AT161" s="2">
        <f t="shared" si="141"/>
        <v>0</v>
      </c>
      <c r="AU161" s="2">
        <f t="shared" ref="AU161:BZ161" si="142">AU170</f>
        <v>29354.240000000002</v>
      </c>
      <c r="AV161" s="2">
        <f t="shared" si="142"/>
        <v>69708.88</v>
      </c>
      <c r="AW161" s="2">
        <f t="shared" si="142"/>
        <v>69708.88</v>
      </c>
      <c r="AX161" s="2">
        <f t="shared" si="142"/>
        <v>0</v>
      </c>
      <c r="AY161" s="2">
        <f t="shared" si="142"/>
        <v>69708.88</v>
      </c>
      <c r="AZ161" s="2">
        <f t="shared" si="142"/>
        <v>0</v>
      </c>
      <c r="BA161" s="2">
        <f t="shared" si="142"/>
        <v>49675.5</v>
      </c>
      <c r="BB161" s="2">
        <f t="shared" si="142"/>
        <v>81365</v>
      </c>
      <c r="BC161" s="2">
        <f t="shared" si="142"/>
        <v>84370.9</v>
      </c>
      <c r="BD161" s="2">
        <f t="shared" si="142"/>
        <v>0</v>
      </c>
      <c r="BE161" s="2">
        <f t="shared" si="142"/>
        <v>0</v>
      </c>
      <c r="BF161" s="2">
        <f t="shared" si="142"/>
        <v>0</v>
      </c>
      <c r="BG161" s="2">
        <f t="shared" si="142"/>
        <v>0</v>
      </c>
      <c r="BH161" s="2">
        <f t="shared" si="142"/>
        <v>0</v>
      </c>
      <c r="BI161" s="2">
        <f t="shared" si="142"/>
        <v>0</v>
      </c>
      <c r="BJ161" s="2">
        <f t="shared" si="142"/>
        <v>0</v>
      </c>
      <c r="BK161" s="2">
        <f t="shared" si="142"/>
        <v>0</v>
      </c>
      <c r="BL161" s="2">
        <f t="shared" si="142"/>
        <v>0</v>
      </c>
      <c r="BM161" s="2">
        <f t="shared" si="142"/>
        <v>0</v>
      </c>
      <c r="BN161" s="2">
        <f t="shared" si="142"/>
        <v>0</v>
      </c>
      <c r="BO161" s="2">
        <f t="shared" si="142"/>
        <v>0</v>
      </c>
      <c r="BP161" s="2">
        <f t="shared" si="142"/>
        <v>0</v>
      </c>
      <c r="BQ161" s="2">
        <f t="shared" si="142"/>
        <v>0</v>
      </c>
      <c r="BR161" s="2">
        <f t="shared" si="142"/>
        <v>0</v>
      </c>
      <c r="BS161" s="2">
        <f t="shared" si="142"/>
        <v>0</v>
      </c>
      <c r="BT161" s="2">
        <f t="shared" si="142"/>
        <v>0</v>
      </c>
      <c r="BU161" s="2">
        <f t="shared" si="142"/>
        <v>0</v>
      </c>
      <c r="BV161" s="2">
        <f t="shared" si="142"/>
        <v>0</v>
      </c>
      <c r="BW161" s="2">
        <f t="shared" si="142"/>
        <v>0</v>
      </c>
      <c r="BX161" s="2">
        <f t="shared" si="142"/>
        <v>0</v>
      </c>
      <c r="BY161" s="2">
        <f t="shared" si="142"/>
        <v>0</v>
      </c>
      <c r="BZ161" s="2">
        <f t="shared" si="142"/>
        <v>0</v>
      </c>
      <c r="CA161" s="2">
        <f t="shared" ref="CA161:DF161" si="143">CA170</f>
        <v>320998.09999999998</v>
      </c>
      <c r="CB161" s="2">
        <f t="shared" si="143"/>
        <v>241968.36</v>
      </c>
      <c r="CC161" s="2">
        <f t="shared" si="143"/>
        <v>0</v>
      </c>
      <c r="CD161" s="2">
        <f t="shared" si="143"/>
        <v>29354.240000000002</v>
      </c>
      <c r="CE161" s="2">
        <f t="shared" si="143"/>
        <v>69708.88</v>
      </c>
      <c r="CF161" s="2">
        <f t="shared" si="143"/>
        <v>69708.88</v>
      </c>
      <c r="CG161" s="2">
        <f t="shared" si="143"/>
        <v>0</v>
      </c>
      <c r="CH161" s="2">
        <f t="shared" si="143"/>
        <v>69708.88</v>
      </c>
      <c r="CI161" s="2">
        <f t="shared" si="143"/>
        <v>0</v>
      </c>
      <c r="CJ161" s="2">
        <f t="shared" si="143"/>
        <v>49675.5</v>
      </c>
      <c r="CK161" s="2">
        <f t="shared" si="143"/>
        <v>81365</v>
      </c>
      <c r="CL161" s="2">
        <f t="shared" si="143"/>
        <v>84370.9</v>
      </c>
      <c r="CM161" s="2">
        <f t="shared" si="143"/>
        <v>0</v>
      </c>
      <c r="CN161" s="2">
        <f t="shared" si="143"/>
        <v>0</v>
      </c>
      <c r="CO161" s="2">
        <f t="shared" si="143"/>
        <v>0</v>
      </c>
      <c r="CP161" s="2">
        <f t="shared" si="143"/>
        <v>0</v>
      </c>
      <c r="CQ161" s="2">
        <f t="shared" si="143"/>
        <v>0</v>
      </c>
      <c r="CR161" s="2">
        <f t="shared" si="143"/>
        <v>0</v>
      </c>
      <c r="CS161" s="2">
        <f t="shared" si="143"/>
        <v>0</v>
      </c>
      <c r="CT161" s="2">
        <f t="shared" si="143"/>
        <v>0</v>
      </c>
      <c r="CU161" s="2">
        <f t="shared" si="143"/>
        <v>0</v>
      </c>
      <c r="CV161" s="2">
        <f t="shared" si="143"/>
        <v>0</v>
      </c>
      <c r="CW161" s="2">
        <f t="shared" si="143"/>
        <v>0</v>
      </c>
      <c r="CX161" s="2">
        <f t="shared" si="143"/>
        <v>0</v>
      </c>
      <c r="CY161" s="2">
        <f t="shared" si="143"/>
        <v>0</v>
      </c>
      <c r="CZ161" s="2">
        <f t="shared" si="143"/>
        <v>0</v>
      </c>
      <c r="DA161" s="2">
        <f t="shared" si="143"/>
        <v>0</v>
      </c>
      <c r="DB161" s="2">
        <f t="shared" si="143"/>
        <v>0</v>
      </c>
      <c r="DC161" s="2">
        <f t="shared" si="143"/>
        <v>0</v>
      </c>
      <c r="DD161" s="2">
        <f t="shared" si="143"/>
        <v>0</v>
      </c>
      <c r="DE161" s="2">
        <f t="shared" si="143"/>
        <v>0</v>
      </c>
      <c r="DF161" s="2">
        <f t="shared" si="143"/>
        <v>0</v>
      </c>
      <c r="DG161" s="3">
        <f t="shared" ref="DG161:EL161" si="144">DG170</f>
        <v>0</v>
      </c>
      <c r="DH161" s="3">
        <f t="shared" si="144"/>
        <v>0</v>
      </c>
      <c r="DI161" s="3">
        <f t="shared" si="144"/>
        <v>0</v>
      </c>
      <c r="DJ161" s="3">
        <f t="shared" si="144"/>
        <v>0</v>
      </c>
      <c r="DK161" s="3">
        <f t="shared" si="144"/>
        <v>0</v>
      </c>
      <c r="DL161" s="3">
        <f t="shared" si="144"/>
        <v>0</v>
      </c>
      <c r="DM161" s="3">
        <f t="shared" si="144"/>
        <v>0</v>
      </c>
      <c r="DN161" s="3">
        <f t="shared" si="144"/>
        <v>0</v>
      </c>
      <c r="DO161" s="3">
        <f t="shared" si="144"/>
        <v>0</v>
      </c>
      <c r="DP161" s="3">
        <f t="shared" si="144"/>
        <v>0</v>
      </c>
      <c r="DQ161" s="3">
        <f t="shared" si="144"/>
        <v>0</v>
      </c>
      <c r="DR161" s="3">
        <f t="shared" si="144"/>
        <v>0</v>
      </c>
      <c r="DS161" s="3">
        <f t="shared" si="144"/>
        <v>0</v>
      </c>
      <c r="DT161" s="3">
        <f t="shared" si="144"/>
        <v>0</v>
      </c>
      <c r="DU161" s="3">
        <f t="shared" si="144"/>
        <v>0</v>
      </c>
      <c r="DV161" s="3">
        <f t="shared" si="144"/>
        <v>0</v>
      </c>
      <c r="DW161" s="3">
        <f t="shared" si="144"/>
        <v>0</v>
      </c>
      <c r="DX161" s="3">
        <f t="shared" si="144"/>
        <v>0</v>
      </c>
      <c r="DY161" s="3">
        <f t="shared" si="144"/>
        <v>0</v>
      </c>
      <c r="DZ161" s="3">
        <f t="shared" si="144"/>
        <v>0</v>
      </c>
      <c r="EA161" s="3">
        <f t="shared" si="144"/>
        <v>0</v>
      </c>
      <c r="EB161" s="3">
        <f t="shared" si="144"/>
        <v>0</v>
      </c>
      <c r="EC161" s="3">
        <f t="shared" si="144"/>
        <v>0</v>
      </c>
      <c r="ED161" s="3">
        <f t="shared" si="144"/>
        <v>0</v>
      </c>
      <c r="EE161" s="3">
        <f t="shared" si="144"/>
        <v>0</v>
      </c>
      <c r="EF161" s="3">
        <f t="shared" si="144"/>
        <v>0</v>
      </c>
      <c r="EG161" s="3">
        <f t="shared" si="144"/>
        <v>0</v>
      </c>
      <c r="EH161" s="3">
        <f t="shared" si="144"/>
        <v>0</v>
      </c>
      <c r="EI161" s="3">
        <f t="shared" si="144"/>
        <v>0</v>
      </c>
      <c r="EJ161" s="3">
        <f t="shared" si="144"/>
        <v>0</v>
      </c>
      <c r="EK161" s="3">
        <f t="shared" si="144"/>
        <v>0</v>
      </c>
      <c r="EL161" s="3">
        <f t="shared" si="144"/>
        <v>0</v>
      </c>
      <c r="EM161" s="3">
        <f t="shared" ref="EM161:FR161" si="145">EM170</f>
        <v>0</v>
      </c>
      <c r="EN161" s="3">
        <f t="shared" si="145"/>
        <v>0</v>
      </c>
      <c r="EO161" s="3">
        <f t="shared" si="145"/>
        <v>0</v>
      </c>
      <c r="EP161" s="3">
        <f t="shared" si="145"/>
        <v>0</v>
      </c>
      <c r="EQ161" s="3">
        <f t="shared" si="145"/>
        <v>0</v>
      </c>
      <c r="ER161" s="3">
        <f t="shared" si="145"/>
        <v>0</v>
      </c>
      <c r="ES161" s="3">
        <f t="shared" si="145"/>
        <v>0</v>
      </c>
      <c r="ET161" s="3">
        <f t="shared" si="145"/>
        <v>0</v>
      </c>
      <c r="EU161" s="3">
        <f t="shared" si="145"/>
        <v>0</v>
      </c>
      <c r="EV161" s="3">
        <f t="shared" si="145"/>
        <v>0</v>
      </c>
      <c r="EW161" s="3">
        <f t="shared" si="145"/>
        <v>0</v>
      </c>
      <c r="EX161" s="3">
        <f t="shared" si="145"/>
        <v>0</v>
      </c>
      <c r="EY161" s="3">
        <f t="shared" si="145"/>
        <v>0</v>
      </c>
      <c r="EZ161" s="3">
        <f t="shared" si="145"/>
        <v>0</v>
      </c>
      <c r="FA161" s="3">
        <f t="shared" si="145"/>
        <v>0</v>
      </c>
      <c r="FB161" s="3">
        <f t="shared" si="145"/>
        <v>0</v>
      </c>
      <c r="FC161" s="3">
        <f t="shared" si="145"/>
        <v>0</v>
      </c>
      <c r="FD161" s="3">
        <f t="shared" si="145"/>
        <v>0</v>
      </c>
      <c r="FE161" s="3">
        <f t="shared" si="145"/>
        <v>0</v>
      </c>
      <c r="FF161" s="3">
        <f t="shared" si="145"/>
        <v>0</v>
      </c>
      <c r="FG161" s="3">
        <f t="shared" si="145"/>
        <v>0</v>
      </c>
      <c r="FH161" s="3">
        <f t="shared" si="145"/>
        <v>0</v>
      </c>
      <c r="FI161" s="3">
        <f t="shared" si="145"/>
        <v>0</v>
      </c>
      <c r="FJ161" s="3">
        <f t="shared" si="145"/>
        <v>0</v>
      </c>
      <c r="FK161" s="3">
        <f t="shared" si="145"/>
        <v>0</v>
      </c>
      <c r="FL161" s="3">
        <f t="shared" si="145"/>
        <v>0</v>
      </c>
      <c r="FM161" s="3">
        <f t="shared" si="145"/>
        <v>0</v>
      </c>
      <c r="FN161" s="3">
        <f t="shared" si="145"/>
        <v>0</v>
      </c>
      <c r="FO161" s="3">
        <f t="shared" si="145"/>
        <v>0</v>
      </c>
      <c r="FP161" s="3">
        <f t="shared" si="145"/>
        <v>0</v>
      </c>
      <c r="FQ161" s="3">
        <f t="shared" si="145"/>
        <v>0</v>
      </c>
      <c r="FR161" s="3">
        <f t="shared" si="145"/>
        <v>0</v>
      </c>
      <c r="FS161" s="3">
        <f t="shared" ref="FS161:GX161" si="146">FS170</f>
        <v>0</v>
      </c>
      <c r="FT161" s="3">
        <f t="shared" si="146"/>
        <v>0</v>
      </c>
      <c r="FU161" s="3">
        <f t="shared" si="146"/>
        <v>0</v>
      </c>
      <c r="FV161" s="3">
        <f t="shared" si="146"/>
        <v>0</v>
      </c>
      <c r="FW161" s="3">
        <f t="shared" si="146"/>
        <v>0</v>
      </c>
      <c r="FX161" s="3">
        <f t="shared" si="146"/>
        <v>0</v>
      </c>
      <c r="FY161" s="3">
        <f t="shared" si="146"/>
        <v>0</v>
      </c>
      <c r="FZ161" s="3">
        <f t="shared" si="146"/>
        <v>0</v>
      </c>
      <c r="GA161" s="3">
        <f t="shared" si="146"/>
        <v>0</v>
      </c>
      <c r="GB161" s="3">
        <f t="shared" si="146"/>
        <v>0</v>
      </c>
      <c r="GC161" s="3">
        <f t="shared" si="146"/>
        <v>0</v>
      </c>
      <c r="GD161" s="3">
        <f t="shared" si="146"/>
        <v>0</v>
      </c>
      <c r="GE161" s="3">
        <f t="shared" si="146"/>
        <v>0</v>
      </c>
      <c r="GF161" s="3">
        <f t="shared" si="146"/>
        <v>0</v>
      </c>
      <c r="GG161" s="3">
        <f t="shared" si="146"/>
        <v>0</v>
      </c>
      <c r="GH161" s="3">
        <f t="shared" si="146"/>
        <v>0</v>
      </c>
      <c r="GI161" s="3">
        <f t="shared" si="146"/>
        <v>0</v>
      </c>
      <c r="GJ161" s="3">
        <f t="shared" si="146"/>
        <v>0</v>
      </c>
      <c r="GK161" s="3">
        <f t="shared" si="146"/>
        <v>0</v>
      </c>
      <c r="GL161" s="3">
        <f t="shared" si="146"/>
        <v>0</v>
      </c>
      <c r="GM161" s="3">
        <f t="shared" si="146"/>
        <v>0</v>
      </c>
      <c r="GN161" s="3">
        <f t="shared" si="146"/>
        <v>0</v>
      </c>
      <c r="GO161" s="3">
        <f t="shared" si="146"/>
        <v>0</v>
      </c>
      <c r="GP161" s="3">
        <f t="shared" si="146"/>
        <v>0</v>
      </c>
      <c r="GQ161" s="3">
        <f t="shared" si="146"/>
        <v>0</v>
      </c>
      <c r="GR161" s="3">
        <f t="shared" si="146"/>
        <v>0</v>
      </c>
      <c r="GS161" s="3">
        <f t="shared" si="146"/>
        <v>0</v>
      </c>
      <c r="GT161" s="3">
        <f t="shared" si="146"/>
        <v>0</v>
      </c>
      <c r="GU161" s="3">
        <f t="shared" si="146"/>
        <v>0</v>
      </c>
      <c r="GV161" s="3">
        <f t="shared" si="146"/>
        <v>0</v>
      </c>
      <c r="GW161" s="3">
        <f t="shared" si="146"/>
        <v>0</v>
      </c>
      <c r="GX161" s="3">
        <f t="shared" si="146"/>
        <v>0</v>
      </c>
    </row>
    <row r="163" spans="1:245" x14ac:dyDescent="0.2">
      <c r="A163">
        <v>17</v>
      </c>
      <c r="B163">
        <v>1</v>
      </c>
      <c r="C163">
        <f>ROW(SmtRes!A49)</f>
        <v>49</v>
      </c>
      <c r="D163">
        <f>ROW(EtalonRes!A47)</f>
        <v>47</v>
      </c>
      <c r="E163" t="s">
        <v>188</v>
      </c>
      <c r="F163" t="s">
        <v>189</v>
      </c>
      <c r="G163" t="s">
        <v>190</v>
      </c>
      <c r="H163" t="s">
        <v>17</v>
      </c>
      <c r="I163">
        <v>50</v>
      </c>
      <c r="J163">
        <v>0</v>
      </c>
      <c r="O163">
        <f t="shared" ref="O163:O168" si="147">ROUND(CP163,2)</f>
        <v>11925.88</v>
      </c>
      <c r="P163">
        <f t="shared" ref="P163:P168" si="148">ROUND((ROUND((AC163*AW163*I163),2)*BC163),2)</f>
        <v>11925.88</v>
      </c>
      <c r="Q163">
        <f>0</f>
        <v>0</v>
      </c>
      <c r="R163">
        <f t="shared" ref="R163:R168" si="149">ROUND((ROUND((AE163*AV163*I163),2)*BS163),2)</f>
        <v>0</v>
      </c>
      <c r="S163">
        <f>0</f>
        <v>0</v>
      </c>
      <c r="T163">
        <f t="shared" ref="T163:T168" si="150">ROUND(CU163*I163,2)</f>
        <v>0</v>
      </c>
      <c r="U163">
        <f t="shared" ref="U163:U168" si="151">CV163*I163</f>
        <v>0</v>
      </c>
      <c r="V163">
        <f t="shared" ref="V163:V168" si="152">CW163*I163</f>
        <v>0</v>
      </c>
      <c r="W163">
        <f t="shared" ref="W163:W168" si="153">ROUND(CX163*I163,2)</f>
        <v>0</v>
      </c>
      <c r="X163">
        <f t="shared" ref="X163:Y168" si="154">ROUND(CY163,2)</f>
        <v>0</v>
      </c>
      <c r="Y163">
        <f t="shared" si="154"/>
        <v>0</v>
      </c>
      <c r="AA163">
        <v>309315610</v>
      </c>
      <c r="AB163">
        <f>ROUND((AC163+0+0),6)</f>
        <v>44.75</v>
      </c>
      <c r="AC163">
        <f>ROUND(((ES163*0.25)),6)</f>
        <v>44.75</v>
      </c>
      <c r="AD163">
        <f>ROUND(((((ET163*1.15*0.25))-((EU163*1.15*0.25)))+AE163),6)</f>
        <v>2.5874999999999999</v>
      </c>
      <c r="AE163">
        <f>ROUND(((EU163*1.15*0.25)),6)</f>
        <v>0</v>
      </c>
      <c r="AF163">
        <f>ROUND(((EV163*1.15*0.25)),6)</f>
        <v>4.5999999999999996</v>
      </c>
      <c r="AG163">
        <f t="shared" ref="AG163:AG168" si="155">ROUND((AP163),6)</f>
        <v>0</v>
      </c>
      <c r="AH163">
        <f>((EW163*1.15*0.25))</f>
        <v>0</v>
      </c>
      <c r="AI163">
        <f>((EX163*1.15*0.25))</f>
        <v>0</v>
      </c>
      <c r="AJ163">
        <f t="shared" ref="AJ163:AJ168" si="156">(AS163)</f>
        <v>0</v>
      </c>
      <c r="AK163">
        <v>204</v>
      </c>
      <c r="AL163">
        <v>179</v>
      </c>
      <c r="AM163">
        <v>9</v>
      </c>
      <c r="AN163">
        <v>0</v>
      </c>
      <c r="AO163">
        <v>16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1</v>
      </c>
      <c r="AW163">
        <v>1</v>
      </c>
      <c r="AZ163">
        <v>1</v>
      </c>
      <c r="BA163">
        <v>16.63</v>
      </c>
      <c r="BB163">
        <v>10.89</v>
      </c>
      <c r="BC163">
        <v>5.33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1</v>
      </c>
      <c r="BJ163" t="s">
        <v>191</v>
      </c>
      <c r="BM163">
        <v>1114</v>
      </c>
      <c r="BN163">
        <v>0</v>
      </c>
      <c r="BO163" t="s">
        <v>189</v>
      </c>
      <c r="BP163">
        <v>1</v>
      </c>
      <c r="BQ163">
        <v>160</v>
      </c>
      <c r="BR163">
        <v>0</v>
      </c>
      <c r="BS163">
        <v>16.63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0</v>
      </c>
      <c r="CA163">
        <v>0</v>
      </c>
      <c r="CE163">
        <v>30</v>
      </c>
      <c r="CF163">
        <v>0</v>
      </c>
      <c r="CG163">
        <v>0</v>
      </c>
      <c r="CM163">
        <v>0</v>
      </c>
      <c r="CN163" t="s">
        <v>192</v>
      </c>
      <c r="CO163">
        <v>0</v>
      </c>
      <c r="CP163">
        <f t="shared" ref="CP163:CP168" si="157">(P163+Q163+S163)</f>
        <v>11925.88</v>
      </c>
      <c r="CQ163">
        <f t="shared" ref="CQ163:CQ168" si="158">ROUND((ROUND((AC163*AW163*1),2)*BC163),2)</f>
        <v>238.52</v>
      </c>
      <c r="CR163">
        <f>(ROUND((ROUND((((ET163*1.15*0.25))*AV163*1),2)*BB163),2)+ROUND((ROUND(((AE163-((EU163*1.15*0.25)))*AV163*1),2)*BS163),2))</f>
        <v>28.21</v>
      </c>
      <c r="CS163">
        <f t="shared" ref="CS163:CS168" si="159">ROUND((ROUND((AE163*AV163*1),2)*BS163),2)</f>
        <v>0</v>
      </c>
      <c r="CT163">
        <f t="shared" ref="CT163:CT168" si="160">ROUND((ROUND((AF163*AV163*1),2)*BA163),2)</f>
        <v>76.5</v>
      </c>
      <c r="CU163">
        <f t="shared" ref="CU163:CU168" si="161">AG163</f>
        <v>0</v>
      </c>
      <c r="CV163">
        <f t="shared" ref="CV163:CV168" si="162">(AH163*AV163)</f>
        <v>0</v>
      </c>
      <c r="CW163">
        <f t="shared" ref="CW163:CX168" si="163">AI163</f>
        <v>0</v>
      </c>
      <c r="CX163">
        <f t="shared" si="163"/>
        <v>0</v>
      </c>
      <c r="CY163">
        <f t="shared" ref="CY163:CY168" si="164">S163*(BZ163/100)</f>
        <v>0</v>
      </c>
      <c r="CZ163">
        <f t="shared" ref="CZ163:CZ168" si="165">S163*(CA163/100)</f>
        <v>0</v>
      </c>
      <c r="DC163" t="s">
        <v>3</v>
      </c>
      <c r="DD163" t="s">
        <v>193</v>
      </c>
      <c r="DE163" t="s">
        <v>194</v>
      </c>
      <c r="DF163" t="s">
        <v>194</v>
      </c>
      <c r="DG163" t="s">
        <v>194</v>
      </c>
      <c r="DH163" t="s">
        <v>3</v>
      </c>
      <c r="DI163" t="s">
        <v>194</v>
      </c>
      <c r="DJ163" t="s">
        <v>194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1013</v>
      </c>
      <c r="DV163" t="s">
        <v>17</v>
      </c>
      <c r="DW163" t="s">
        <v>17</v>
      </c>
      <c r="DX163">
        <v>1</v>
      </c>
      <c r="EE163">
        <v>298189190</v>
      </c>
      <c r="EF163">
        <v>160</v>
      </c>
      <c r="EG163" t="s">
        <v>23</v>
      </c>
      <c r="EH163">
        <v>0</v>
      </c>
      <c r="EI163" t="s">
        <v>3</v>
      </c>
      <c r="EJ163">
        <v>1</v>
      </c>
      <c r="EK163">
        <v>1114</v>
      </c>
      <c r="EL163" t="s">
        <v>24</v>
      </c>
      <c r="EM163" t="s">
        <v>25</v>
      </c>
      <c r="EO163" t="s">
        <v>3</v>
      </c>
      <c r="EQ163">
        <v>0</v>
      </c>
      <c r="ER163">
        <v>204</v>
      </c>
      <c r="ES163">
        <v>179</v>
      </c>
      <c r="ET163">
        <v>9</v>
      </c>
      <c r="EU163">
        <v>0</v>
      </c>
      <c r="EV163">
        <v>16</v>
      </c>
      <c r="EW163">
        <v>0</v>
      </c>
      <c r="EX163">
        <v>0</v>
      </c>
      <c r="EY163">
        <v>0</v>
      </c>
      <c r="FQ163">
        <v>0</v>
      </c>
      <c r="FR163">
        <f t="shared" ref="FR163:FR168" si="166">ROUND(IF(AND(BH163=3,BI163=3),P163,0),2)</f>
        <v>0</v>
      </c>
      <c r="FS163">
        <v>0</v>
      </c>
      <c r="FX163">
        <v>0</v>
      </c>
      <c r="FY163">
        <v>0</v>
      </c>
      <c r="GA163" t="s">
        <v>3</v>
      </c>
      <c r="GD163">
        <v>1</v>
      </c>
      <c r="GF163">
        <v>38241283</v>
      </c>
      <c r="GG163">
        <v>2</v>
      </c>
      <c r="GH163">
        <v>1</v>
      </c>
      <c r="GI163">
        <v>2</v>
      </c>
      <c r="GJ163">
        <v>3</v>
      </c>
      <c r="GK163">
        <v>0</v>
      </c>
      <c r="GL163">
        <f t="shared" ref="GL163:GL168" si="167">ROUND(IF(AND(BH163=3,BI163=3,FS163&lt;&gt;0),P163,0),2)</f>
        <v>0</v>
      </c>
      <c r="GM163">
        <f>ROUND(P163+GY163+GZ163,2)+GX163</f>
        <v>17159.73</v>
      </c>
      <c r="GN163">
        <f>IF(OR(BI163=0,BI163=1),ROUND(P163+GY163+GZ163,2),0)</f>
        <v>17159.73</v>
      </c>
      <c r="GO163">
        <f>IF(BI163=2,ROUND(P163+GY163+GZ163,2),0)</f>
        <v>0</v>
      </c>
      <c r="GP163">
        <f>IF(BI163=4,ROUND(P163+GY163+GZ163,2)+GX163,0)</f>
        <v>0</v>
      </c>
      <c r="GR163">
        <v>0</v>
      </c>
      <c r="GS163">
        <v>3</v>
      </c>
      <c r="GT163">
        <v>0</v>
      </c>
      <c r="GU163" t="s">
        <v>3</v>
      </c>
      <c r="GV163">
        <f t="shared" ref="GV163:GV168" si="168">ROUND((GT163),6)</f>
        <v>0</v>
      </c>
      <c r="GW163">
        <v>1</v>
      </c>
      <c r="GX163">
        <f t="shared" ref="GX163:GX168" si="169">ROUND(HC163*I163,2)</f>
        <v>0</v>
      </c>
      <c r="GY163">
        <f>(ROUND((ROUND((((ET163*1.15*0.25))*AV163*I163),2)*BB163),2)+ROUND((ROUND(((AE163-((EU163*1.15*0.25)))*AV163*I163),2)*BS163),2))</f>
        <v>1408.95</v>
      </c>
      <c r="GZ163">
        <f>ROUND((ROUND((AF163*AV163*I163),2)*BA163),2)</f>
        <v>3824.9</v>
      </c>
      <c r="HA163">
        <v>0</v>
      </c>
      <c r="HB163">
        <v>0</v>
      </c>
      <c r="HC163">
        <f t="shared" ref="HC163:HC168" si="170">GV163*GW163</f>
        <v>0</v>
      </c>
      <c r="IK163">
        <v>0</v>
      </c>
    </row>
    <row r="164" spans="1:245" x14ac:dyDescent="0.2">
      <c r="A164">
        <v>17</v>
      </c>
      <c r="B164">
        <v>1</v>
      </c>
      <c r="C164">
        <f>ROW(SmtRes!A51)</f>
        <v>51</v>
      </c>
      <c r="D164">
        <f>ROW(EtalonRes!A49)</f>
        <v>49</v>
      </c>
      <c r="E164" t="s">
        <v>195</v>
      </c>
      <c r="F164" t="s">
        <v>196</v>
      </c>
      <c r="G164" t="s">
        <v>197</v>
      </c>
      <c r="H164" t="s">
        <v>17</v>
      </c>
      <c r="I164">
        <v>50</v>
      </c>
      <c r="J164">
        <v>0</v>
      </c>
      <c r="O164">
        <f t="shared" si="147"/>
        <v>57783</v>
      </c>
      <c r="P164">
        <f t="shared" si="148"/>
        <v>57783</v>
      </c>
      <c r="Q164">
        <f>0</f>
        <v>0</v>
      </c>
      <c r="R164">
        <f t="shared" si="149"/>
        <v>0</v>
      </c>
      <c r="S164">
        <f>0</f>
        <v>0</v>
      </c>
      <c r="T164">
        <f t="shared" si="150"/>
        <v>0</v>
      </c>
      <c r="U164">
        <f t="shared" si="151"/>
        <v>0</v>
      </c>
      <c r="V164">
        <f t="shared" si="152"/>
        <v>0</v>
      </c>
      <c r="W164">
        <f t="shared" si="153"/>
        <v>0</v>
      </c>
      <c r="X164">
        <f t="shared" si="154"/>
        <v>0</v>
      </c>
      <c r="Y164">
        <f t="shared" si="154"/>
        <v>0</v>
      </c>
      <c r="AA164">
        <v>309315610</v>
      </c>
      <c r="AB164">
        <f>ROUND((AC164+0+0),6)</f>
        <v>154.5</v>
      </c>
      <c r="AC164">
        <f>ROUND(((ES164*0.5)),6)</f>
        <v>154.5</v>
      </c>
      <c r="AD164">
        <f>ROUND(((((ET164*1.15*0.5))-((EU164*1.15*0.5)))+AE164),6)</f>
        <v>144.32499999999999</v>
      </c>
      <c r="AE164">
        <f>ROUND(((EU164*1.15*0.5)),6)</f>
        <v>0</v>
      </c>
      <c r="AF164">
        <f>ROUND(((EV164*1.15*0.5)),6)</f>
        <v>92</v>
      </c>
      <c r="AG164">
        <f t="shared" si="155"/>
        <v>0</v>
      </c>
      <c r="AH164">
        <f>((EW164*1.15*0.5))</f>
        <v>0</v>
      </c>
      <c r="AI164">
        <f>((EX164*1.15*0.5))</f>
        <v>0</v>
      </c>
      <c r="AJ164">
        <f t="shared" si="156"/>
        <v>0</v>
      </c>
      <c r="AK164">
        <v>891</v>
      </c>
      <c r="AL164">
        <v>309</v>
      </c>
      <c r="AM164">
        <v>251</v>
      </c>
      <c r="AN164">
        <v>0</v>
      </c>
      <c r="AO164">
        <v>160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1</v>
      </c>
      <c r="AW164">
        <v>1</v>
      </c>
      <c r="AZ164">
        <v>1</v>
      </c>
      <c r="BA164">
        <v>17.510000000000002</v>
      </c>
      <c r="BB164">
        <v>11.08</v>
      </c>
      <c r="BC164">
        <v>7.48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1</v>
      </c>
      <c r="BJ164" t="s">
        <v>198</v>
      </c>
      <c r="BM164">
        <v>1114</v>
      </c>
      <c r="BN164">
        <v>0</v>
      </c>
      <c r="BO164" t="s">
        <v>196</v>
      </c>
      <c r="BP164">
        <v>1</v>
      </c>
      <c r="BQ164">
        <v>160</v>
      </c>
      <c r="BR164">
        <v>0</v>
      </c>
      <c r="BS164">
        <v>17.510000000000002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0</v>
      </c>
      <c r="CA164">
        <v>0</v>
      </c>
      <c r="CE164">
        <v>30</v>
      </c>
      <c r="CF164">
        <v>0</v>
      </c>
      <c r="CG164">
        <v>0</v>
      </c>
      <c r="CM164">
        <v>0</v>
      </c>
      <c r="CN164" t="s">
        <v>199</v>
      </c>
      <c r="CO164">
        <v>0</v>
      </c>
      <c r="CP164">
        <f t="shared" si="157"/>
        <v>57783</v>
      </c>
      <c r="CQ164">
        <f t="shared" si="158"/>
        <v>1155.6600000000001</v>
      </c>
      <c r="CR164">
        <f>(ROUND((ROUND((((ET164*1.15*0.5))*AV164*1),2)*BB164),2)+ROUND((ROUND(((AE164-((EU164*1.15*0.5)))*AV164*1),2)*BS164),2))</f>
        <v>1599.18</v>
      </c>
      <c r="CS164">
        <f t="shared" si="159"/>
        <v>0</v>
      </c>
      <c r="CT164">
        <f t="shared" si="160"/>
        <v>1610.92</v>
      </c>
      <c r="CU164">
        <f t="shared" si="161"/>
        <v>0</v>
      </c>
      <c r="CV164">
        <f t="shared" si="162"/>
        <v>0</v>
      </c>
      <c r="CW164">
        <f t="shared" si="163"/>
        <v>0</v>
      </c>
      <c r="CX164">
        <f t="shared" si="163"/>
        <v>0</v>
      </c>
      <c r="CY164">
        <f t="shared" si="164"/>
        <v>0</v>
      </c>
      <c r="CZ164">
        <f t="shared" si="165"/>
        <v>0</v>
      </c>
      <c r="DC164" t="s">
        <v>3</v>
      </c>
      <c r="DD164" t="s">
        <v>200</v>
      </c>
      <c r="DE164" t="s">
        <v>201</v>
      </c>
      <c r="DF164" t="s">
        <v>201</v>
      </c>
      <c r="DG164" t="s">
        <v>201</v>
      </c>
      <c r="DH164" t="s">
        <v>3</v>
      </c>
      <c r="DI164" t="s">
        <v>201</v>
      </c>
      <c r="DJ164" t="s">
        <v>201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17</v>
      </c>
      <c r="DW164" t="s">
        <v>17</v>
      </c>
      <c r="DX164">
        <v>1</v>
      </c>
      <c r="EE164">
        <v>298189190</v>
      </c>
      <c r="EF164">
        <v>160</v>
      </c>
      <c r="EG164" t="s">
        <v>23</v>
      </c>
      <c r="EH164">
        <v>0</v>
      </c>
      <c r="EI164" t="s">
        <v>3</v>
      </c>
      <c r="EJ164">
        <v>1</v>
      </c>
      <c r="EK164">
        <v>1114</v>
      </c>
      <c r="EL164" t="s">
        <v>24</v>
      </c>
      <c r="EM164" t="s">
        <v>25</v>
      </c>
      <c r="EO164" t="s">
        <v>3</v>
      </c>
      <c r="EQ164">
        <v>512</v>
      </c>
      <c r="ER164">
        <v>891</v>
      </c>
      <c r="ES164">
        <v>309</v>
      </c>
      <c r="ET164">
        <v>251</v>
      </c>
      <c r="EU164">
        <v>0</v>
      </c>
      <c r="EV164">
        <v>160</v>
      </c>
      <c r="EW164">
        <v>0</v>
      </c>
      <c r="EX164">
        <v>0</v>
      </c>
      <c r="EY164">
        <v>1</v>
      </c>
      <c r="FQ164">
        <v>0</v>
      </c>
      <c r="FR164">
        <f t="shared" si="166"/>
        <v>0</v>
      </c>
      <c r="FS164">
        <v>0</v>
      </c>
      <c r="FX164">
        <v>0</v>
      </c>
      <c r="FY164">
        <v>0</v>
      </c>
      <c r="GA164" t="s">
        <v>3</v>
      </c>
      <c r="GD164">
        <v>1</v>
      </c>
      <c r="GF164">
        <v>-1493418421</v>
      </c>
      <c r="GG164">
        <v>2</v>
      </c>
      <c r="GH164">
        <v>1</v>
      </c>
      <c r="GI164">
        <v>2</v>
      </c>
      <c r="GJ164">
        <v>3</v>
      </c>
      <c r="GK164">
        <v>0</v>
      </c>
      <c r="GL164">
        <f t="shared" si="167"/>
        <v>0</v>
      </c>
      <c r="GM164">
        <f>ROUND(P164+GY164+GZ164,2)+GX164</f>
        <v>267960.55</v>
      </c>
      <c r="GN164">
        <f>IF(OR(BI164=0,BI164=1),ROUND(P164+GY164+GZ164,2),0)</f>
        <v>218285.05</v>
      </c>
      <c r="GO164">
        <f>IF(BI164=2,ROUND(P164+GY164+GZ164,2),0)</f>
        <v>0</v>
      </c>
      <c r="GP164">
        <f>IF(BI164=4,ROUND(P164+GY164+GZ164,2)+GX164,0)</f>
        <v>0</v>
      </c>
      <c r="GR164">
        <v>0</v>
      </c>
      <c r="GS164">
        <v>3</v>
      </c>
      <c r="GT164">
        <v>171</v>
      </c>
      <c r="GU164" t="s">
        <v>3</v>
      </c>
      <c r="GV164">
        <f t="shared" si="168"/>
        <v>171</v>
      </c>
      <c r="GW164">
        <v>5.81</v>
      </c>
      <c r="GX164">
        <f t="shared" si="169"/>
        <v>49675.5</v>
      </c>
      <c r="GY164">
        <f>(ROUND((ROUND((((ET164*1.15*0.5))*AV164*I164),2)*BB164),2)+ROUND((ROUND(((AE164-((EU164*1.15*0.5)))*AV164*I164),2)*BS164),2))</f>
        <v>79956.05</v>
      </c>
      <c r="GZ164">
        <f>ROUND((ROUND((AF164*AV164*I164),2)*BA164),2)</f>
        <v>80546</v>
      </c>
      <c r="HA164">
        <v>1.79</v>
      </c>
      <c r="HB164">
        <v>0</v>
      </c>
      <c r="HC164">
        <f t="shared" si="170"/>
        <v>993.50999999999988</v>
      </c>
      <c r="IK164">
        <v>0</v>
      </c>
    </row>
    <row r="165" spans="1:245" x14ac:dyDescent="0.2">
      <c r="A165">
        <v>18</v>
      </c>
      <c r="B165">
        <v>1</v>
      </c>
      <c r="C165">
        <v>51</v>
      </c>
      <c r="E165" t="s">
        <v>202</v>
      </c>
      <c r="F165" t="s">
        <v>31</v>
      </c>
      <c r="G165" t="s">
        <v>32</v>
      </c>
      <c r="H165" t="s">
        <v>33</v>
      </c>
      <c r="I165">
        <f>I164*J165</f>
        <v>44.75</v>
      </c>
      <c r="J165">
        <v>0.89500000000000002</v>
      </c>
      <c r="O165">
        <f t="shared" si="147"/>
        <v>0</v>
      </c>
      <c r="P165">
        <f t="shared" si="148"/>
        <v>0</v>
      </c>
      <c r="Q165">
        <f>(ROUND((ROUND(((ET165)*AV165*I165),2)*BB165),2)+ROUND((ROUND(((AE165-(EU165))*AV165*I165),2)*BS165),2))</f>
        <v>0</v>
      </c>
      <c r="R165">
        <f t="shared" si="149"/>
        <v>0</v>
      </c>
      <c r="S165">
        <f>ROUND((ROUND((AF165*AV165*I165),2)*BA165),2)</f>
        <v>0</v>
      </c>
      <c r="T165">
        <f t="shared" si="150"/>
        <v>0</v>
      </c>
      <c r="U165">
        <f t="shared" si="151"/>
        <v>0</v>
      </c>
      <c r="V165">
        <f t="shared" si="152"/>
        <v>0</v>
      </c>
      <c r="W165">
        <f t="shared" si="153"/>
        <v>0</v>
      </c>
      <c r="X165">
        <f t="shared" si="154"/>
        <v>0</v>
      </c>
      <c r="Y165">
        <f t="shared" si="154"/>
        <v>0</v>
      </c>
      <c r="AA165">
        <v>309315610</v>
      </c>
      <c r="AB165">
        <f>ROUND((AC165+AD165+AF165),6)</f>
        <v>0</v>
      </c>
      <c r="AC165">
        <f>ROUND((ES165),6)</f>
        <v>0</v>
      </c>
      <c r="AD165">
        <f>ROUND((((ET165)-(EU165))+AE165),6)</f>
        <v>0</v>
      </c>
      <c r="AE165">
        <f t="shared" ref="AE165:AF168" si="171">ROUND((EU165),6)</f>
        <v>0</v>
      </c>
      <c r="AF165">
        <f t="shared" si="171"/>
        <v>0</v>
      </c>
      <c r="AG165">
        <f t="shared" si="155"/>
        <v>0</v>
      </c>
      <c r="AH165">
        <f t="shared" ref="AH165:AI168" si="172">(EW165)</f>
        <v>0</v>
      </c>
      <c r="AI165">
        <f t="shared" si="172"/>
        <v>0</v>
      </c>
      <c r="AJ165">
        <f t="shared" si="156"/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3</v>
      </c>
      <c r="BI165">
        <v>1</v>
      </c>
      <c r="BJ165" t="s">
        <v>3</v>
      </c>
      <c r="BM165">
        <v>1114</v>
      </c>
      <c r="BN165">
        <v>0</v>
      </c>
      <c r="BO165" t="s">
        <v>3</v>
      </c>
      <c r="BP165">
        <v>0</v>
      </c>
      <c r="BQ165">
        <v>160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0</v>
      </c>
      <c r="CA165">
        <v>0</v>
      </c>
      <c r="CE165">
        <v>30</v>
      </c>
      <c r="CF165">
        <v>0</v>
      </c>
      <c r="CG165">
        <v>0</v>
      </c>
      <c r="CM165">
        <v>0</v>
      </c>
      <c r="CN165" t="s">
        <v>199</v>
      </c>
      <c r="CO165">
        <v>0</v>
      </c>
      <c r="CP165">
        <f t="shared" si="157"/>
        <v>0</v>
      </c>
      <c r="CQ165">
        <f t="shared" si="158"/>
        <v>0</v>
      </c>
      <c r="CR165">
        <f>(ROUND((ROUND(((ET165)*AV165*1),2)*BB165),2)+ROUND((ROUND(((AE165-(EU165))*AV165*1),2)*BS165),2))</f>
        <v>0</v>
      </c>
      <c r="CS165">
        <f t="shared" si="159"/>
        <v>0</v>
      </c>
      <c r="CT165">
        <f t="shared" si="160"/>
        <v>0</v>
      </c>
      <c r="CU165">
        <f t="shared" si="161"/>
        <v>0</v>
      </c>
      <c r="CV165">
        <f t="shared" si="162"/>
        <v>0</v>
      </c>
      <c r="CW165">
        <f t="shared" si="163"/>
        <v>0</v>
      </c>
      <c r="CX165">
        <f t="shared" si="163"/>
        <v>0</v>
      </c>
      <c r="CY165">
        <f t="shared" si="164"/>
        <v>0</v>
      </c>
      <c r="CZ165">
        <f t="shared" si="165"/>
        <v>0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1007</v>
      </c>
      <c r="DV165" t="s">
        <v>33</v>
      </c>
      <c r="DW165" t="s">
        <v>33</v>
      </c>
      <c r="DX165">
        <v>1</v>
      </c>
      <c r="EE165">
        <v>298189190</v>
      </c>
      <c r="EF165">
        <v>160</v>
      </c>
      <c r="EG165" t="s">
        <v>23</v>
      </c>
      <c r="EH165">
        <v>0</v>
      </c>
      <c r="EI165" t="s">
        <v>3</v>
      </c>
      <c r="EJ165">
        <v>1</v>
      </c>
      <c r="EK165">
        <v>1114</v>
      </c>
      <c r="EL165" t="s">
        <v>24</v>
      </c>
      <c r="EM165" t="s">
        <v>25</v>
      </c>
      <c r="EO165" t="s">
        <v>3</v>
      </c>
      <c r="EQ165">
        <v>512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FQ165">
        <v>0</v>
      </c>
      <c r="FR165">
        <f t="shared" si="166"/>
        <v>0</v>
      </c>
      <c r="FS165">
        <v>0</v>
      </c>
      <c r="FX165">
        <v>0</v>
      </c>
      <c r="FY165">
        <v>0</v>
      </c>
      <c r="GA165" t="s">
        <v>3</v>
      </c>
      <c r="GD165">
        <v>0</v>
      </c>
      <c r="GF165">
        <v>179728826</v>
      </c>
      <c r="GG165">
        <v>2</v>
      </c>
      <c r="GH165">
        <v>1</v>
      </c>
      <c r="GI165">
        <v>-2</v>
      </c>
      <c r="GJ165">
        <v>0</v>
      </c>
      <c r="GK165">
        <f>ROUND(R165*(R12)/100,2)</f>
        <v>0</v>
      </c>
      <c r="GL165">
        <f t="shared" si="167"/>
        <v>0</v>
      </c>
      <c r="GM165">
        <f>ROUND(O165+X165+Y165+GK165,2)+GX165</f>
        <v>0</v>
      </c>
      <c r="GN165">
        <f>IF(OR(BI165=0,BI165=1),ROUND(O165+X165+Y165+GK165,2),0)</f>
        <v>0</v>
      </c>
      <c r="GO165">
        <f>IF(BI165=2,ROUND(O165+X165+Y165+GK165,2),0)</f>
        <v>0</v>
      </c>
      <c r="GP165">
        <f>IF(BI165=4,ROUND(O165+X165+Y165+GK165,2)+GX165,0)</f>
        <v>0</v>
      </c>
      <c r="GR165">
        <v>0</v>
      </c>
      <c r="GS165">
        <v>0</v>
      </c>
      <c r="GT165">
        <v>0</v>
      </c>
      <c r="GU165" t="s">
        <v>3</v>
      </c>
      <c r="GV165">
        <f t="shared" si="168"/>
        <v>0</v>
      </c>
      <c r="GW165">
        <v>1</v>
      </c>
      <c r="GX165">
        <f t="shared" si="169"/>
        <v>0</v>
      </c>
      <c r="HA165">
        <v>0</v>
      </c>
      <c r="HB165">
        <v>0</v>
      </c>
      <c r="HC165">
        <f t="shared" si="170"/>
        <v>0</v>
      </c>
      <c r="IK165">
        <v>0</v>
      </c>
    </row>
    <row r="166" spans="1:245" x14ac:dyDescent="0.2">
      <c r="A166">
        <v>17</v>
      </c>
      <c r="B166">
        <v>1</v>
      </c>
      <c r="C166">
        <f>ROW(SmtRes!A54)</f>
        <v>54</v>
      </c>
      <c r="D166">
        <f>ROW(EtalonRes!A52)</f>
        <v>52</v>
      </c>
      <c r="E166" t="s">
        <v>203</v>
      </c>
      <c r="F166" t="s">
        <v>42</v>
      </c>
      <c r="G166" t="s">
        <v>43</v>
      </c>
      <c r="H166" t="s">
        <v>44</v>
      </c>
      <c r="I166">
        <f>ROUND(I165/100,4)</f>
        <v>0.44750000000000001</v>
      </c>
      <c r="J166">
        <v>0</v>
      </c>
      <c r="O166">
        <f t="shared" si="147"/>
        <v>3773.71</v>
      </c>
      <c r="P166">
        <f t="shared" si="148"/>
        <v>0</v>
      </c>
      <c r="Q166">
        <f>(ROUND((ROUND(((ET166)*AV166*I166),2)*BB166),2)+ROUND((ROUND(((AE166-(EU166))*AV166*I166),2)*BS166),2))</f>
        <v>3612.56</v>
      </c>
      <c r="R166">
        <f t="shared" si="149"/>
        <v>1605.75</v>
      </c>
      <c r="S166">
        <f>ROUND((ROUND((AF166*AV166*I166),2)*BA166),2)</f>
        <v>161.15</v>
      </c>
      <c r="T166">
        <f t="shared" si="150"/>
        <v>0</v>
      </c>
      <c r="U166">
        <f t="shared" si="151"/>
        <v>0.73611959999999987</v>
      </c>
      <c r="V166">
        <f t="shared" si="152"/>
        <v>0</v>
      </c>
      <c r="W166">
        <f t="shared" si="153"/>
        <v>0</v>
      </c>
      <c r="X166">
        <f t="shared" si="154"/>
        <v>148.26</v>
      </c>
      <c r="Y166">
        <f t="shared" si="154"/>
        <v>80.58</v>
      </c>
      <c r="AA166">
        <v>309315610</v>
      </c>
      <c r="AB166">
        <f>ROUND((AC166+AD166+AF166),6)</f>
        <v>771.65</v>
      </c>
      <c r="AC166">
        <f>ROUND((ES166),6)</f>
        <v>0</v>
      </c>
      <c r="AD166">
        <f>ROUND((((ET166)-(EU166))+AE166),6)</f>
        <v>757.55</v>
      </c>
      <c r="AE166">
        <f t="shared" si="171"/>
        <v>140.47999999999999</v>
      </c>
      <c r="AF166">
        <f t="shared" si="171"/>
        <v>14.1</v>
      </c>
      <c r="AG166">
        <f t="shared" si="155"/>
        <v>0</v>
      </c>
      <c r="AH166">
        <f t="shared" si="172"/>
        <v>1.38</v>
      </c>
      <c r="AI166">
        <f t="shared" si="172"/>
        <v>0</v>
      </c>
      <c r="AJ166">
        <f t="shared" si="156"/>
        <v>0</v>
      </c>
      <c r="AK166">
        <v>771.65</v>
      </c>
      <c r="AL166">
        <v>0</v>
      </c>
      <c r="AM166">
        <v>757.55</v>
      </c>
      <c r="AN166">
        <v>140.47999999999999</v>
      </c>
      <c r="AO166">
        <v>14.1</v>
      </c>
      <c r="AP166">
        <v>0</v>
      </c>
      <c r="AQ166">
        <v>1.38</v>
      </c>
      <c r="AR166">
        <v>0</v>
      </c>
      <c r="AS166">
        <v>0</v>
      </c>
      <c r="AT166">
        <v>92</v>
      </c>
      <c r="AU166">
        <v>50</v>
      </c>
      <c r="AV166">
        <v>1.1919999999999999</v>
      </c>
      <c r="AW166">
        <v>1</v>
      </c>
      <c r="AZ166">
        <v>1</v>
      </c>
      <c r="BA166">
        <v>21.43</v>
      </c>
      <c r="BB166">
        <v>8.94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1</v>
      </c>
      <c r="BJ166" t="s">
        <v>45</v>
      </c>
      <c r="BM166">
        <v>2</v>
      </c>
      <c r="BN166">
        <v>0</v>
      </c>
      <c r="BO166" t="s">
        <v>42</v>
      </c>
      <c r="BP166">
        <v>1</v>
      </c>
      <c r="BQ166">
        <v>30</v>
      </c>
      <c r="BR166">
        <v>0</v>
      </c>
      <c r="BS166">
        <v>21.43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92</v>
      </c>
      <c r="CA166">
        <v>50</v>
      </c>
      <c r="CE166">
        <v>30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57"/>
        <v>3773.71</v>
      </c>
      <c r="CQ166">
        <f t="shared" si="158"/>
        <v>0</v>
      </c>
      <c r="CR166">
        <f>(ROUND((ROUND(((ET166)*AV166*1),2)*BB166),2)+ROUND((ROUND(((AE166-(EU166))*AV166*1),2)*BS166),2))</f>
        <v>8072.82</v>
      </c>
      <c r="CS166">
        <f t="shared" si="159"/>
        <v>3588.45</v>
      </c>
      <c r="CT166">
        <f t="shared" si="160"/>
        <v>360.24</v>
      </c>
      <c r="CU166">
        <f t="shared" si="161"/>
        <v>0</v>
      </c>
      <c r="CV166">
        <f t="shared" si="162"/>
        <v>1.6449599999999998</v>
      </c>
      <c r="CW166">
        <f t="shared" si="163"/>
        <v>0</v>
      </c>
      <c r="CX166">
        <f t="shared" si="163"/>
        <v>0</v>
      </c>
      <c r="CY166">
        <f t="shared" si="164"/>
        <v>148.25800000000001</v>
      </c>
      <c r="CZ166">
        <f t="shared" si="165"/>
        <v>80.575000000000003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98</v>
      </c>
      <c r="DO166">
        <v>77</v>
      </c>
      <c r="DP166">
        <v>1.1919999999999999</v>
      </c>
      <c r="DQ166">
        <v>1</v>
      </c>
      <c r="DU166">
        <v>1013</v>
      </c>
      <c r="DV166" t="s">
        <v>44</v>
      </c>
      <c r="DW166" t="s">
        <v>44</v>
      </c>
      <c r="DX166">
        <v>1</v>
      </c>
      <c r="EE166">
        <v>298188122</v>
      </c>
      <c r="EF166">
        <v>30</v>
      </c>
      <c r="EG166" t="s">
        <v>46</v>
      </c>
      <c r="EH166">
        <v>0</v>
      </c>
      <c r="EI166" t="s">
        <v>3</v>
      </c>
      <c r="EJ166">
        <v>1</v>
      </c>
      <c r="EK166">
        <v>2</v>
      </c>
      <c r="EL166" t="s">
        <v>47</v>
      </c>
      <c r="EM166" t="s">
        <v>48</v>
      </c>
      <c r="EO166" t="s">
        <v>3</v>
      </c>
      <c r="EQ166">
        <v>0</v>
      </c>
      <c r="ER166">
        <v>771.65</v>
      </c>
      <c r="ES166">
        <v>0</v>
      </c>
      <c r="ET166">
        <v>757.55</v>
      </c>
      <c r="EU166">
        <v>140.47999999999999</v>
      </c>
      <c r="EV166">
        <v>14.1</v>
      </c>
      <c r="EW166">
        <v>1.38</v>
      </c>
      <c r="EX166">
        <v>0</v>
      </c>
      <c r="EY166">
        <v>0</v>
      </c>
      <c r="FQ166">
        <v>0</v>
      </c>
      <c r="FR166">
        <f t="shared" si="166"/>
        <v>0</v>
      </c>
      <c r="FS166">
        <v>0</v>
      </c>
      <c r="FX166">
        <v>98</v>
      </c>
      <c r="FY166">
        <v>77</v>
      </c>
      <c r="GA166" t="s">
        <v>3</v>
      </c>
      <c r="GD166">
        <v>0</v>
      </c>
      <c r="GF166">
        <v>445216503</v>
      </c>
      <c r="GG166">
        <v>2</v>
      </c>
      <c r="GH166">
        <v>1</v>
      </c>
      <c r="GI166">
        <v>2</v>
      </c>
      <c r="GJ166">
        <v>0</v>
      </c>
      <c r="GK166">
        <f>ROUND(R166*(R12)/100,2)</f>
        <v>2521.0300000000002</v>
      </c>
      <c r="GL166">
        <f t="shared" si="167"/>
        <v>0</v>
      </c>
      <c r="GM166">
        <f>ROUND(O166+X166+Y166+GK166,2)+GX166</f>
        <v>6523.58</v>
      </c>
      <c r="GN166">
        <f>IF(OR(BI166=0,BI166=1),ROUND(O166+X166+Y166+GK166,2),0)</f>
        <v>6523.58</v>
      </c>
      <c r="GO166">
        <f>IF(BI166=2,ROUND(O166+X166+Y166+GK166,2),0)</f>
        <v>0</v>
      </c>
      <c r="GP166">
        <f>IF(BI166=4,ROUND(O166+X166+Y166+GK166,2)+GX166,0)</f>
        <v>0</v>
      </c>
      <c r="GR166">
        <v>0</v>
      </c>
      <c r="GS166">
        <v>0</v>
      </c>
      <c r="GT166">
        <v>0</v>
      </c>
      <c r="GU166" t="s">
        <v>3</v>
      </c>
      <c r="GV166">
        <f t="shared" si="168"/>
        <v>0</v>
      </c>
      <c r="GW166">
        <v>1</v>
      </c>
      <c r="GX166">
        <f t="shared" si="169"/>
        <v>0</v>
      </c>
      <c r="HA166">
        <v>0</v>
      </c>
      <c r="HB166">
        <v>0</v>
      </c>
      <c r="HC166">
        <f t="shared" si="170"/>
        <v>0</v>
      </c>
      <c r="IK166">
        <v>0</v>
      </c>
    </row>
    <row r="167" spans="1:245" x14ac:dyDescent="0.2">
      <c r="A167">
        <v>17</v>
      </c>
      <c r="B167">
        <v>1</v>
      </c>
      <c r="C167">
        <f>ROW(SmtRes!A55)</f>
        <v>55</v>
      </c>
      <c r="D167">
        <f>ROW(EtalonRes!A53)</f>
        <v>53</v>
      </c>
      <c r="E167" t="s">
        <v>204</v>
      </c>
      <c r="F167" t="s">
        <v>50</v>
      </c>
      <c r="G167" t="s">
        <v>51</v>
      </c>
      <c r="H167" t="s">
        <v>52</v>
      </c>
      <c r="I167">
        <f>ROUND(I166*100,4)</f>
        <v>44.75</v>
      </c>
      <c r="J167">
        <v>0</v>
      </c>
      <c r="O167">
        <f t="shared" si="147"/>
        <v>19348.849999999999</v>
      </c>
      <c r="P167">
        <f t="shared" si="148"/>
        <v>0</v>
      </c>
      <c r="Q167">
        <f>(ROUND((ROUND(((ET167+(SUM(SmtRes!BD55:'SmtRes'!BD55)+SUM(EtalonRes!AM53:'EtalonRes'!AM53)))*AV167*I167),2)*BB167),2)+ROUND((ROUND(((AE167-(EU167))*AV167*I167),2)*BS167),2))</f>
        <v>19348.849999999999</v>
      </c>
      <c r="R167">
        <f t="shared" si="149"/>
        <v>0</v>
      </c>
      <c r="S167">
        <f>ROUND((ROUND((AF167*AV167*I167),2)*BA167),2)</f>
        <v>0</v>
      </c>
      <c r="T167">
        <f t="shared" si="150"/>
        <v>0</v>
      </c>
      <c r="U167">
        <f t="shared" si="151"/>
        <v>0</v>
      </c>
      <c r="V167">
        <f t="shared" si="152"/>
        <v>0</v>
      </c>
      <c r="W167">
        <f t="shared" si="153"/>
        <v>0</v>
      </c>
      <c r="X167">
        <f t="shared" si="154"/>
        <v>0</v>
      </c>
      <c r="Y167">
        <f t="shared" si="154"/>
        <v>0</v>
      </c>
      <c r="AA167">
        <v>309315610</v>
      </c>
      <c r="AB167">
        <f>ROUND((AC167+AD167+AF167),6)</f>
        <v>45.37</v>
      </c>
      <c r="AC167">
        <f>ROUND((ES167),6)</f>
        <v>0</v>
      </c>
      <c r="AD167">
        <f>ROUND((((ET167+(SUM(SmtRes!BD55:'SmtRes'!BD55)+SUM(EtalonRes!AM53:'EtalonRes'!AM53)))-(EU167))+AE167),6)</f>
        <v>45.37</v>
      </c>
      <c r="AE167">
        <f t="shared" si="171"/>
        <v>0</v>
      </c>
      <c r="AF167">
        <f t="shared" si="171"/>
        <v>0</v>
      </c>
      <c r="AG167">
        <f t="shared" si="155"/>
        <v>0</v>
      </c>
      <c r="AH167">
        <f t="shared" si="172"/>
        <v>0</v>
      </c>
      <c r="AI167">
        <f t="shared" si="172"/>
        <v>0</v>
      </c>
      <c r="AJ167">
        <f t="shared" si="156"/>
        <v>0</v>
      </c>
      <c r="AK167">
        <v>73.78</v>
      </c>
      <c r="AL167">
        <v>0</v>
      </c>
      <c r="AM167">
        <v>73.78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1</v>
      </c>
      <c r="AW167">
        <v>1</v>
      </c>
      <c r="AZ167">
        <v>1</v>
      </c>
      <c r="BA167">
        <v>21.43</v>
      </c>
      <c r="BB167">
        <v>9.5299999999999994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53</v>
      </c>
      <c r="BM167">
        <v>1111</v>
      </c>
      <c r="BN167">
        <v>0</v>
      </c>
      <c r="BO167" t="s">
        <v>50</v>
      </c>
      <c r="BP167">
        <v>1</v>
      </c>
      <c r="BQ167">
        <v>150</v>
      </c>
      <c r="BR167">
        <v>0</v>
      </c>
      <c r="BS167">
        <v>21.43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0</v>
      </c>
      <c r="CA167">
        <v>0</v>
      </c>
      <c r="CE167">
        <v>30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57"/>
        <v>19348.849999999999</v>
      </c>
      <c r="CQ167">
        <f t="shared" si="158"/>
        <v>0</v>
      </c>
      <c r="CR167">
        <f>(ROUND((ROUND(((ET167+(SUM(SmtRes!BD55:'SmtRes'!BD55)+SUM(EtalonRes!AM53:'EtalonRes'!AM53)))*AV167*1),2)*BB167),2)+ROUND((ROUND(((AE167-(EU167))*AV167*1),2)*BS167),2))</f>
        <v>432.38</v>
      </c>
      <c r="CS167">
        <f t="shared" si="159"/>
        <v>0</v>
      </c>
      <c r="CT167">
        <f t="shared" si="160"/>
        <v>0</v>
      </c>
      <c r="CU167">
        <f t="shared" si="161"/>
        <v>0</v>
      </c>
      <c r="CV167">
        <f t="shared" si="162"/>
        <v>0</v>
      </c>
      <c r="CW167">
        <f t="shared" si="163"/>
        <v>0</v>
      </c>
      <c r="CX167">
        <f t="shared" si="163"/>
        <v>0</v>
      </c>
      <c r="CY167">
        <f t="shared" si="164"/>
        <v>0</v>
      </c>
      <c r="CZ167">
        <f t="shared" si="165"/>
        <v>0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1013</v>
      </c>
      <c r="DV167" t="s">
        <v>52</v>
      </c>
      <c r="DW167" t="s">
        <v>52</v>
      </c>
      <c r="DX167">
        <v>1</v>
      </c>
      <c r="EE167">
        <v>298189187</v>
      </c>
      <c r="EF167">
        <v>150</v>
      </c>
      <c r="EG167" t="s">
        <v>54</v>
      </c>
      <c r="EH167">
        <v>0</v>
      </c>
      <c r="EI167" t="s">
        <v>3</v>
      </c>
      <c r="EJ167">
        <v>4</v>
      </c>
      <c r="EK167">
        <v>1111</v>
      </c>
      <c r="EL167" t="s">
        <v>55</v>
      </c>
      <c r="EM167" t="s">
        <v>56</v>
      </c>
      <c r="EO167" t="s">
        <v>3</v>
      </c>
      <c r="EQ167">
        <v>0</v>
      </c>
      <c r="ER167">
        <v>73.78</v>
      </c>
      <c r="ES167">
        <v>0</v>
      </c>
      <c r="ET167">
        <v>73.78</v>
      </c>
      <c r="EU167">
        <v>0</v>
      </c>
      <c r="EV167">
        <v>0</v>
      </c>
      <c r="EW167">
        <v>0</v>
      </c>
      <c r="EX167">
        <v>0</v>
      </c>
      <c r="EY167">
        <v>1</v>
      </c>
      <c r="FQ167">
        <v>0</v>
      </c>
      <c r="FR167">
        <f t="shared" si="166"/>
        <v>0</v>
      </c>
      <c r="FS167">
        <v>0</v>
      </c>
      <c r="FX167">
        <v>0</v>
      </c>
      <c r="FY167">
        <v>0</v>
      </c>
      <c r="GA167" t="s">
        <v>3</v>
      </c>
      <c r="GD167">
        <v>1</v>
      </c>
      <c r="GF167">
        <v>583310256</v>
      </c>
      <c r="GG167">
        <v>2</v>
      </c>
      <c r="GH167">
        <v>1</v>
      </c>
      <c r="GI167">
        <v>2</v>
      </c>
      <c r="GJ167">
        <v>0</v>
      </c>
      <c r="GK167">
        <v>0</v>
      </c>
      <c r="GL167">
        <f t="shared" si="167"/>
        <v>0</v>
      </c>
      <c r="GM167">
        <f>ROUND(O167+X167+Y167,2)+GX167</f>
        <v>19348.849999999999</v>
      </c>
      <c r="GN167">
        <f>IF(OR(BI167=0,BI167=1),ROUND(O167+X167+Y167,2),0)</f>
        <v>0</v>
      </c>
      <c r="GO167">
        <f>IF(BI167=2,ROUND(O167+X167+Y167,2),0)</f>
        <v>0</v>
      </c>
      <c r="GP167">
        <f>IF(BI167=4,ROUND(O167+X167+Y167,2)+GX167,0)</f>
        <v>19348.849999999999</v>
      </c>
      <c r="GR167">
        <v>0</v>
      </c>
      <c r="GS167">
        <v>3</v>
      </c>
      <c r="GT167">
        <v>0</v>
      </c>
      <c r="GU167" t="s">
        <v>3</v>
      </c>
      <c r="GV167">
        <f t="shared" si="168"/>
        <v>0</v>
      </c>
      <c r="GW167">
        <v>1</v>
      </c>
      <c r="GX167">
        <f t="shared" si="169"/>
        <v>0</v>
      </c>
      <c r="HA167">
        <v>0</v>
      </c>
      <c r="HB167">
        <v>0</v>
      </c>
      <c r="HC167">
        <f t="shared" si="170"/>
        <v>0</v>
      </c>
      <c r="IK167">
        <v>0</v>
      </c>
    </row>
    <row r="168" spans="1:245" x14ac:dyDescent="0.2">
      <c r="A168">
        <v>17</v>
      </c>
      <c r="B168">
        <v>1</v>
      </c>
      <c r="C168">
        <f>ROW(SmtRes!A56)</f>
        <v>56</v>
      </c>
      <c r="D168">
        <f>ROW(EtalonRes!A54)</f>
        <v>54</v>
      </c>
      <c r="E168" t="s">
        <v>205</v>
      </c>
      <c r="F168" t="s">
        <v>58</v>
      </c>
      <c r="G168" t="s">
        <v>59</v>
      </c>
      <c r="H168" t="s">
        <v>60</v>
      </c>
      <c r="I168">
        <f>ROUND(I167*1.8,4)</f>
        <v>80.55</v>
      </c>
      <c r="J168">
        <v>0</v>
      </c>
      <c r="O168">
        <f t="shared" si="147"/>
        <v>10005.39</v>
      </c>
      <c r="P168">
        <f t="shared" si="148"/>
        <v>0</v>
      </c>
      <c r="Q168">
        <f>(ROUND((ROUND(((ET168)*AV168*I168),2)*BB168),2)+ROUND((ROUND(((AE168-(EU168))*AV168*I168),2)*BS168),2))</f>
        <v>10005.39</v>
      </c>
      <c r="R168">
        <f t="shared" si="149"/>
        <v>0</v>
      </c>
      <c r="S168">
        <f>ROUND((ROUND((AF168*AV168*I168),2)*BA168),2)</f>
        <v>0</v>
      </c>
      <c r="T168">
        <f t="shared" si="150"/>
        <v>0</v>
      </c>
      <c r="U168">
        <f t="shared" si="151"/>
        <v>0</v>
      </c>
      <c r="V168">
        <f t="shared" si="152"/>
        <v>0</v>
      </c>
      <c r="W168">
        <f t="shared" si="153"/>
        <v>0</v>
      </c>
      <c r="X168">
        <f t="shared" si="154"/>
        <v>0</v>
      </c>
      <c r="Y168">
        <f t="shared" si="154"/>
        <v>0</v>
      </c>
      <c r="AA168">
        <v>309315610</v>
      </c>
      <c r="AB168">
        <f>ROUND((AC168+AD168+AF168),6)</f>
        <v>43.28</v>
      </c>
      <c r="AC168">
        <f>ROUND((ES168),6)</f>
        <v>0</v>
      </c>
      <c r="AD168">
        <f>ROUND((((ET168)-(EU168))+AE168),6)</f>
        <v>43.28</v>
      </c>
      <c r="AE168">
        <f t="shared" si="171"/>
        <v>0</v>
      </c>
      <c r="AF168">
        <f t="shared" si="171"/>
        <v>0</v>
      </c>
      <c r="AG168">
        <f t="shared" si="155"/>
        <v>0</v>
      </c>
      <c r="AH168">
        <f t="shared" si="172"/>
        <v>0</v>
      </c>
      <c r="AI168">
        <f t="shared" si="172"/>
        <v>0</v>
      </c>
      <c r="AJ168">
        <f t="shared" si="156"/>
        <v>0</v>
      </c>
      <c r="AK168">
        <v>43.28</v>
      </c>
      <c r="AL168">
        <v>0</v>
      </c>
      <c r="AM168">
        <v>43.28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1</v>
      </c>
      <c r="AW168">
        <v>1</v>
      </c>
      <c r="AZ168">
        <v>1</v>
      </c>
      <c r="BA168">
        <v>21.43</v>
      </c>
      <c r="BB168">
        <v>2.87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4</v>
      </c>
      <c r="BJ168" t="s">
        <v>61</v>
      </c>
      <c r="BM168">
        <v>1110</v>
      </c>
      <c r="BN168">
        <v>0</v>
      </c>
      <c r="BO168" t="s">
        <v>58</v>
      </c>
      <c r="BP168">
        <v>1</v>
      </c>
      <c r="BQ168">
        <v>150</v>
      </c>
      <c r="BR168">
        <v>0</v>
      </c>
      <c r="BS168">
        <v>21.43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0</v>
      </c>
      <c r="CA168">
        <v>0</v>
      </c>
      <c r="CE168">
        <v>30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57"/>
        <v>10005.39</v>
      </c>
      <c r="CQ168">
        <f t="shared" si="158"/>
        <v>0</v>
      </c>
      <c r="CR168">
        <f>(ROUND((ROUND(((ET168)*AV168*1),2)*BB168),2)+ROUND((ROUND(((AE168-(EU168))*AV168*1),2)*BS168),2))</f>
        <v>124.21</v>
      </c>
      <c r="CS168">
        <f t="shared" si="159"/>
        <v>0</v>
      </c>
      <c r="CT168">
        <f t="shared" si="160"/>
        <v>0</v>
      </c>
      <c r="CU168">
        <f t="shared" si="161"/>
        <v>0</v>
      </c>
      <c r="CV168">
        <f t="shared" si="162"/>
        <v>0</v>
      </c>
      <c r="CW168">
        <f t="shared" si="163"/>
        <v>0</v>
      </c>
      <c r="CX168">
        <f t="shared" si="163"/>
        <v>0</v>
      </c>
      <c r="CY168">
        <f t="shared" si="164"/>
        <v>0</v>
      </c>
      <c r="CZ168">
        <f t="shared" si="165"/>
        <v>0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1013</v>
      </c>
      <c r="DV168" t="s">
        <v>60</v>
      </c>
      <c r="DW168" t="s">
        <v>60</v>
      </c>
      <c r="DX168">
        <v>1</v>
      </c>
      <c r="EE168">
        <v>298189186</v>
      </c>
      <c r="EF168">
        <v>150</v>
      </c>
      <c r="EG168" t="s">
        <v>54</v>
      </c>
      <c r="EH168">
        <v>0</v>
      </c>
      <c r="EI168" t="s">
        <v>3</v>
      </c>
      <c r="EJ168">
        <v>4</v>
      </c>
      <c r="EK168">
        <v>1110</v>
      </c>
      <c r="EL168" t="s">
        <v>72</v>
      </c>
      <c r="EM168" t="s">
        <v>73</v>
      </c>
      <c r="EO168" t="s">
        <v>3</v>
      </c>
      <c r="EQ168">
        <v>768</v>
      </c>
      <c r="ER168">
        <v>43.28</v>
      </c>
      <c r="ES168">
        <v>0</v>
      </c>
      <c r="ET168">
        <v>43.28</v>
      </c>
      <c r="EU168">
        <v>0</v>
      </c>
      <c r="EV168">
        <v>0</v>
      </c>
      <c r="EW168">
        <v>0</v>
      </c>
      <c r="EX168">
        <v>0</v>
      </c>
      <c r="EY168">
        <v>0</v>
      </c>
      <c r="FQ168">
        <v>0</v>
      </c>
      <c r="FR168">
        <f t="shared" si="166"/>
        <v>0</v>
      </c>
      <c r="FS168">
        <v>0</v>
      </c>
      <c r="FX168">
        <v>0</v>
      </c>
      <c r="FY168">
        <v>0</v>
      </c>
      <c r="GA168" t="s">
        <v>3</v>
      </c>
      <c r="GD168">
        <v>1</v>
      </c>
      <c r="GF168">
        <v>-1830155644</v>
      </c>
      <c r="GG168">
        <v>2</v>
      </c>
      <c r="GH168">
        <v>1</v>
      </c>
      <c r="GI168">
        <v>2</v>
      </c>
      <c r="GJ168">
        <v>0</v>
      </c>
      <c r="GK168">
        <v>0</v>
      </c>
      <c r="GL168">
        <f t="shared" si="167"/>
        <v>0</v>
      </c>
      <c r="GM168">
        <f>ROUND(O168+X168+Y168,2)+GX168</f>
        <v>10005.39</v>
      </c>
      <c r="GN168">
        <f>IF(OR(BI168=0,BI168=1),ROUND(O168+X168+Y168,2),0)</f>
        <v>0</v>
      </c>
      <c r="GO168">
        <f>IF(BI168=2,ROUND(O168+X168+Y168,2),0)</f>
        <v>0</v>
      </c>
      <c r="GP168">
        <f>IF(BI168=4,ROUND(O168+X168+Y168,2)+GX168,0)</f>
        <v>10005.39</v>
      </c>
      <c r="GR168">
        <v>0</v>
      </c>
      <c r="GS168">
        <v>0</v>
      </c>
      <c r="GT168">
        <v>0</v>
      </c>
      <c r="GU168" t="s">
        <v>3</v>
      </c>
      <c r="GV168">
        <f t="shared" si="168"/>
        <v>0</v>
      </c>
      <c r="GW168">
        <v>1</v>
      </c>
      <c r="GX168">
        <f t="shared" si="169"/>
        <v>0</v>
      </c>
      <c r="HA168">
        <v>0</v>
      </c>
      <c r="HB168">
        <v>0</v>
      </c>
      <c r="HC168">
        <f t="shared" si="170"/>
        <v>0</v>
      </c>
      <c r="IK168">
        <v>0</v>
      </c>
    </row>
    <row r="170" spans="1:245" x14ac:dyDescent="0.2">
      <c r="A170" s="2">
        <v>51</v>
      </c>
      <c r="B170" s="2">
        <f>B159</f>
        <v>1</v>
      </c>
      <c r="C170" s="2">
        <f>A159</f>
        <v>4</v>
      </c>
      <c r="D170" s="2">
        <f>ROW(A159)</f>
        <v>159</v>
      </c>
      <c r="E170" s="2"/>
      <c r="F170" s="2" t="str">
        <f>IF(F159&lt;&gt;"",F159,"")</f>
        <v>Новый раздел</v>
      </c>
      <c r="G170" s="2" t="str">
        <f>IF(G159&lt;&gt;"",G159,"")</f>
        <v>ВОДОВЫПУСК Ду100мм труба на ж/б основании   - 50м</v>
      </c>
      <c r="H170" s="2">
        <v>0</v>
      </c>
      <c r="I170" s="2"/>
      <c r="J170" s="2"/>
      <c r="K170" s="2"/>
      <c r="L170" s="2"/>
      <c r="M170" s="2"/>
      <c r="N170" s="2"/>
      <c r="O170" s="2">
        <f t="shared" ref="O170:T170" si="173">ROUND(AB170,2)</f>
        <v>102836.83</v>
      </c>
      <c r="P170" s="2">
        <f t="shared" si="173"/>
        <v>69708.88</v>
      </c>
      <c r="Q170" s="2">
        <f t="shared" si="173"/>
        <v>32966.800000000003</v>
      </c>
      <c r="R170" s="2">
        <f t="shared" si="173"/>
        <v>1605.75</v>
      </c>
      <c r="S170" s="2">
        <f t="shared" si="173"/>
        <v>161.15</v>
      </c>
      <c r="T170" s="2">
        <f t="shared" si="173"/>
        <v>0</v>
      </c>
      <c r="U170" s="2">
        <f>AH170</f>
        <v>0.73611959999999987</v>
      </c>
      <c r="V170" s="2">
        <f>AI170</f>
        <v>0</v>
      </c>
      <c r="W170" s="2">
        <f>ROUND(AJ170,2)</f>
        <v>0</v>
      </c>
      <c r="X170" s="2">
        <f>ROUND(AK170,2)</f>
        <v>148.26</v>
      </c>
      <c r="Y170" s="2">
        <f>ROUND(AL170,2)</f>
        <v>80.58</v>
      </c>
      <c r="Z170" s="2"/>
      <c r="AA170" s="2"/>
      <c r="AB170" s="2">
        <f>ROUND(SUMIF(AA163:AA168,"=309315610",O163:O168),2)</f>
        <v>102836.83</v>
      </c>
      <c r="AC170" s="2">
        <f>ROUND(SUMIF(AA163:AA168,"=309315610",P163:P168),2)</f>
        <v>69708.88</v>
      </c>
      <c r="AD170" s="2">
        <f>ROUND(SUMIF(AA163:AA168,"=309315610",Q163:Q168),2)</f>
        <v>32966.800000000003</v>
      </c>
      <c r="AE170" s="2">
        <f>ROUND(SUMIF(AA163:AA168,"=309315610",R163:R168),2)</f>
        <v>1605.75</v>
      </c>
      <c r="AF170" s="2">
        <f>ROUND(SUMIF(AA163:AA168,"=309315610",S163:S168),2)</f>
        <v>161.15</v>
      </c>
      <c r="AG170" s="2">
        <f>ROUND(SUMIF(AA163:AA168,"=309315610",T163:T168),2)</f>
        <v>0</v>
      </c>
      <c r="AH170" s="2">
        <f>SUMIF(AA163:AA168,"=309315610",U163:U168)</f>
        <v>0.73611959999999987</v>
      </c>
      <c r="AI170" s="2">
        <f>SUMIF(AA163:AA168,"=309315610",V163:V168)</f>
        <v>0</v>
      </c>
      <c r="AJ170" s="2">
        <f>ROUND(SUMIF(AA163:AA168,"=309315610",W163:W168),2)</f>
        <v>0</v>
      </c>
      <c r="AK170" s="2">
        <f>ROUND(SUMIF(AA163:AA168,"=309315610",X163:X168),2)</f>
        <v>148.26</v>
      </c>
      <c r="AL170" s="2">
        <f>ROUND(SUMIF(AA163:AA168,"=309315610",Y163:Y168),2)</f>
        <v>80.58</v>
      </c>
      <c r="AM170" s="2"/>
      <c r="AN170" s="2"/>
      <c r="AO170" s="2">
        <f t="shared" ref="AO170:BC170" si="174">ROUND(BX170,2)</f>
        <v>0</v>
      </c>
      <c r="AP170" s="2">
        <f t="shared" si="174"/>
        <v>0</v>
      </c>
      <c r="AQ170" s="2">
        <f t="shared" si="174"/>
        <v>0</v>
      </c>
      <c r="AR170" s="2">
        <f t="shared" si="174"/>
        <v>320998.09999999998</v>
      </c>
      <c r="AS170" s="2">
        <f t="shared" si="174"/>
        <v>241968.36</v>
      </c>
      <c r="AT170" s="2">
        <f t="shared" si="174"/>
        <v>0</v>
      </c>
      <c r="AU170" s="2">
        <f t="shared" si="174"/>
        <v>29354.240000000002</v>
      </c>
      <c r="AV170" s="2">
        <f t="shared" si="174"/>
        <v>69708.88</v>
      </c>
      <c r="AW170" s="2">
        <f t="shared" si="174"/>
        <v>69708.88</v>
      </c>
      <c r="AX170" s="2">
        <f t="shared" si="174"/>
        <v>0</v>
      </c>
      <c r="AY170" s="2">
        <f t="shared" si="174"/>
        <v>69708.88</v>
      </c>
      <c r="AZ170" s="2">
        <f t="shared" si="174"/>
        <v>0</v>
      </c>
      <c r="BA170" s="2">
        <f t="shared" si="174"/>
        <v>49675.5</v>
      </c>
      <c r="BB170" s="2">
        <f t="shared" si="174"/>
        <v>81365</v>
      </c>
      <c r="BC170" s="2">
        <f t="shared" si="174"/>
        <v>84370.9</v>
      </c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>
        <f>ROUND(SUMIF(AA163:AA168,"=309315610",FQ163:FQ168),2)</f>
        <v>0</v>
      </c>
      <c r="BY170" s="2">
        <f>ROUND(SUMIF(AA163:AA168,"=309315610",FR163:FR168),2)</f>
        <v>0</v>
      </c>
      <c r="BZ170" s="2">
        <f>ROUND(SUMIF(AA163:AA168,"=309315610",GL163:GL168),2)</f>
        <v>0</v>
      </c>
      <c r="CA170" s="2">
        <f>ROUND(SUMIF(AA163:AA168,"=309315610",GM163:GM168),2)</f>
        <v>320998.09999999998</v>
      </c>
      <c r="CB170" s="2">
        <f>ROUND(SUMIF(AA163:AA168,"=309315610",GN163:GN168),2)</f>
        <v>241968.36</v>
      </c>
      <c r="CC170" s="2">
        <f>ROUND(SUMIF(AA163:AA168,"=309315610",GO163:GO168),2)</f>
        <v>0</v>
      </c>
      <c r="CD170" s="2">
        <f>ROUND(SUMIF(AA163:AA168,"=309315610",GP163:GP168),2)</f>
        <v>29354.240000000002</v>
      </c>
      <c r="CE170" s="2">
        <f>AC170-BX170</f>
        <v>69708.88</v>
      </c>
      <c r="CF170" s="2">
        <f>AC170-BY170</f>
        <v>69708.88</v>
      </c>
      <c r="CG170" s="2">
        <f>BX170-BZ170</f>
        <v>0</v>
      </c>
      <c r="CH170" s="2">
        <f>AC170-BX170-BY170+BZ170</f>
        <v>69708.88</v>
      </c>
      <c r="CI170" s="2">
        <f>BY170-BZ170</f>
        <v>0</v>
      </c>
      <c r="CJ170" s="2">
        <f>ROUND(SUMIF(AA163:AA168,"=309315610",GX163:GX168),2)</f>
        <v>49675.5</v>
      </c>
      <c r="CK170" s="2">
        <f>ROUND(SUMIF(AA163:AA168,"=309315610",GY163:GY168),2)</f>
        <v>81365</v>
      </c>
      <c r="CL170" s="2">
        <f>ROUND(SUMIF(AA163:AA168,"=309315610",GZ163:GZ168),2)</f>
        <v>84370.9</v>
      </c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>
        <v>0</v>
      </c>
    </row>
    <row r="172" spans="1:245" x14ac:dyDescent="0.2">
      <c r="A172" s="4">
        <v>50</v>
      </c>
      <c r="B172" s="4">
        <v>0</v>
      </c>
      <c r="C172" s="4">
        <v>0</v>
      </c>
      <c r="D172" s="4">
        <v>1</v>
      </c>
      <c r="E172" s="4">
        <v>201</v>
      </c>
      <c r="F172" s="4">
        <f>ROUND(Source!O170,O172)</f>
        <v>102836.83</v>
      </c>
      <c r="G172" s="4" t="s">
        <v>74</v>
      </c>
      <c r="H172" s="4" t="s">
        <v>75</v>
      </c>
      <c r="I172" s="4"/>
      <c r="J172" s="4"/>
      <c r="K172" s="4">
        <v>201</v>
      </c>
      <c r="L172" s="4">
        <v>1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202</v>
      </c>
      <c r="F173" s="4">
        <f>ROUND(Source!P170,O173)</f>
        <v>69708.88</v>
      </c>
      <c r="G173" s="4" t="s">
        <v>76</v>
      </c>
      <c r="H173" s="4" t="s">
        <v>77</v>
      </c>
      <c r="I173" s="4"/>
      <c r="J173" s="4"/>
      <c r="K173" s="4">
        <v>202</v>
      </c>
      <c r="L173" s="4">
        <v>2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222</v>
      </c>
      <c r="F174" s="4">
        <f>ROUND(Source!AO170,O174)</f>
        <v>0</v>
      </c>
      <c r="G174" s="4" t="s">
        <v>78</v>
      </c>
      <c r="H174" s="4" t="s">
        <v>79</v>
      </c>
      <c r="I174" s="4"/>
      <c r="J174" s="4"/>
      <c r="K174" s="4">
        <v>222</v>
      </c>
      <c r="L174" s="4">
        <v>3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225</v>
      </c>
      <c r="F175" s="4">
        <f>ROUND(Source!AV170,O175)</f>
        <v>69708.88</v>
      </c>
      <c r="G175" s="4" t="s">
        <v>80</v>
      </c>
      <c r="H175" s="4" t="s">
        <v>81</v>
      </c>
      <c r="I175" s="4"/>
      <c r="J175" s="4"/>
      <c r="K175" s="4">
        <v>225</v>
      </c>
      <c r="L175" s="4">
        <v>4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226</v>
      </c>
      <c r="F176" s="4">
        <f>ROUND(Source!AW170,O176)</f>
        <v>69708.88</v>
      </c>
      <c r="G176" s="4" t="s">
        <v>82</v>
      </c>
      <c r="H176" s="4" t="s">
        <v>83</v>
      </c>
      <c r="I176" s="4"/>
      <c r="J176" s="4"/>
      <c r="K176" s="4">
        <v>226</v>
      </c>
      <c r="L176" s="4">
        <v>5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227</v>
      </c>
      <c r="F177" s="4">
        <f>ROUND(Source!AX170,O177)</f>
        <v>0</v>
      </c>
      <c r="G177" s="4" t="s">
        <v>84</v>
      </c>
      <c r="H177" s="4" t="s">
        <v>85</v>
      </c>
      <c r="I177" s="4"/>
      <c r="J177" s="4"/>
      <c r="K177" s="4">
        <v>227</v>
      </c>
      <c r="L177" s="4">
        <v>6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228</v>
      </c>
      <c r="F178" s="4">
        <f>ROUND(Source!AY170,O178)</f>
        <v>69708.88</v>
      </c>
      <c r="G178" s="4" t="s">
        <v>86</v>
      </c>
      <c r="H178" s="4" t="s">
        <v>87</v>
      </c>
      <c r="I178" s="4"/>
      <c r="J178" s="4"/>
      <c r="K178" s="4">
        <v>228</v>
      </c>
      <c r="L178" s="4">
        <v>7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216</v>
      </c>
      <c r="F179" s="4">
        <f>ROUND(Source!AP170,O179)</f>
        <v>0</v>
      </c>
      <c r="G179" s="4" t="s">
        <v>88</v>
      </c>
      <c r="H179" s="4" t="s">
        <v>89</v>
      </c>
      <c r="I179" s="4"/>
      <c r="J179" s="4"/>
      <c r="K179" s="4">
        <v>216</v>
      </c>
      <c r="L179" s="4">
        <v>8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223</v>
      </c>
      <c r="F180" s="4">
        <f>ROUND(Source!AQ170,O180)</f>
        <v>0</v>
      </c>
      <c r="G180" s="4" t="s">
        <v>90</v>
      </c>
      <c r="H180" s="4" t="s">
        <v>91</v>
      </c>
      <c r="I180" s="4"/>
      <c r="J180" s="4"/>
      <c r="K180" s="4">
        <v>223</v>
      </c>
      <c r="L180" s="4">
        <v>9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229</v>
      </c>
      <c r="F181" s="4">
        <f>ROUND(Source!AZ170,O181)</f>
        <v>0</v>
      </c>
      <c r="G181" s="4" t="s">
        <v>92</v>
      </c>
      <c r="H181" s="4" t="s">
        <v>93</v>
      </c>
      <c r="I181" s="4"/>
      <c r="J181" s="4"/>
      <c r="K181" s="4">
        <v>229</v>
      </c>
      <c r="L181" s="4">
        <v>10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203</v>
      </c>
      <c r="F182" s="4">
        <f>ROUND(Source!Q170,O182)</f>
        <v>32966.800000000003</v>
      </c>
      <c r="G182" s="4" t="s">
        <v>94</v>
      </c>
      <c r="H182" s="4" t="s">
        <v>95</v>
      </c>
      <c r="I182" s="4"/>
      <c r="J182" s="4"/>
      <c r="K182" s="4">
        <v>203</v>
      </c>
      <c r="L182" s="4">
        <v>11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231</v>
      </c>
      <c r="F183" s="4">
        <f>ROUND(Source!BB170,O183)</f>
        <v>81365</v>
      </c>
      <c r="G183" s="4" t="s">
        <v>96</v>
      </c>
      <c r="H183" s="4" t="s">
        <v>97</v>
      </c>
      <c r="I183" s="4"/>
      <c r="J183" s="4"/>
      <c r="K183" s="4">
        <v>231</v>
      </c>
      <c r="L183" s="4">
        <v>12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204</v>
      </c>
      <c r="F184" s="4">
        <f>ROUND(Source!R170,O184)</f>
        <v>1605.75</v>
      </c>
      <c r="G184" s="4" t="s">
        <v>98</v>
      </c>
      <c r="H184" s="4" t="s">
        <v>99</v>
      </c>
      <c r="I184" s="4"/>
      <c r="J184" s="4"/>
      <c r="K184" s="4">
        <v>204</v>
      </c>
      <c r="L184" s="4">
        <v>13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205</v>
      </c>
      <c r="F185" s="4">
        <f>ROUND(Source!S170,O185)</f>
        <v>161.15</v>
      </c>
      <c r="G185" s="4" t="s">
        <v>100</v>
      </c>
      <c r="H185" s="4" t="s">
        <v>101</v>
      </c>
      <c r="I185" s="4"/>
      <c r="J185" s="4"/>
      <c r="K185" s="4">
        <v>205</v>
      </c>
      <c r="L185" s="4">
        <v>14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232</v>
      </c>
      <c r="F186" s="4">
        <f>ROUND(Source!BC170,O186)</f>
        <v>84370.9</v>
      </c>
      <c r="G186" s="4" t="s">
        <v>102</v>
      </c>
      <c r="H186" s="4" t="s">
        <v>103</v>
      </c>
      <c r="I186" s="4"/>
      <c r="J186" s="4"/>
      <c r="K186" s="4">
        <v>232</v>
      </c>
      <c r="L186" s="4">
        <v>15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214</v>
      </c>
      <c r="F187" s="4">
        <f>ROUND(Source!AS170,O187)</f>
        <v>241968.36</v>
      </c>
      <c r="G187" s="4" t="s">
        <v>104</v>
      </c>
      <c r="H187" s="4" t="s">
        <v>105</v>
      </c>
      <c r="I187" s="4"/>
      <c r="J187" s="4"/>
      <c r="K187" s="4">
        <v>214</v>
      </c>
      <c r="L187" s="4">
        <v>16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215</v>
      </c>
      <c r="F188" s="4">
        <f>ROUND(Source!AT170,O188)</f>
        <v>0</v>
      </c>
      <c r="G188" s="4" t="s">
        <v>106</v>
      </c>
      <c r="H188" s="4" t="s">
        <v>107</v>
      </c>
      <c r="I188" s="4"/>
      <c r="J188" s="4"/>
      <c r="K188" s="4">
        <v>215</v>
      </c>
      <c r="L188" s="4">
        <v>17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217</v>
      </c>
      <c r="F189" s="4">
        <f>ROUND(Source!AU170,O189)</f>
        <v>29354.240000000002</v>
      </c>
      <c r="G189" s="4" t="s">
        <v>108</v>
      </c>
      <c r="H189" s="4" t="s">
        <v>109</v>
      </c>
      <c r="I189" s="4"/>
      <c r="J189" s="4"/>
      <c r="K189" s="4">
        <v>217</v>
      </c>
      <c r="L189" s="4">
        <v>18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230</v>
      </c>
      <c r="F190" s="4">
        <f>ROUND(Source!BA170,O190)</f>
        <v>49675.5</v>
      </c>
      <c r="G190" s="4" t="s">
        <v>110</v>
      </c>
      <c r="H190" s="4" t="s">
        <v>111</v>
      </c>
      <c r="I190" s="4"/>
      <c r="J190" s="4"/>
      <c r="K190" s="4">
        <v>230</v>
      </c>
      <c r="L190" s="4">
        <v>19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206</v>
      </c>
      <c r="F191" s="4">
        <f>ROUND(Source!T170,O191)</f>
        <v>0</v>
      </c>
      <c r="G191" s="4" t="s">
        <v>112</v>
      </c>
      <c r="H191" s="4" t="s">
        <v>113</v>
      </c>
      <c r="I191" s="4"/>
      <c r="J191" s="4"/>
      <c r="K191" s="4">
        <v>206</v>
      </c>
      <c r="L191" s="4">
        <v>20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207</v>
      </c>
      <c r="F192" s="4">
        <f>Source!U170</f>
        <v>0.73611959999999987</v>
      </c>
      <c r="G192" s="4" t="s">
        <v>114</v>
      </c>
      <c r="H192" s="4" t="s">
        <v>115</v>
      </c>
      <c r="I192" s="4"/>
      <c r="J192" s="4"/>
      <c r="K192" s="4">
        <v>207</v>
      </c>
      <c r="L192" s="4">
        <v>21</v>
      </c>
      <c r="M192" s="4">
        <v>3</v>
      </c>
      <c r="N192" s="4" t="s">
        <v>3</v>
      </c>
      <c r="O192" s="4">
        <v>-1</v>
      </c>
      <c r="P192" s="4"/>
      <c r="Q192" s="4"/>
      <c r="R192" s="4"/>
      <c r="S192" s="4"/>
      <c r="T192" s="4"/>
      <c r="U192" s="4"/>
      <c r="V192" s="4"/>
      <c r="W192" s="4"/>
    </row>
    <row r="193" spans="1:245" x14ac:dyDescent="0.2">
      <c r="A193" s="4">
        <v>50</v>
      </c>
      <c r="B193" s="4">
        <v>0</v>
      </c>
      <c r="C193" s="4">
        <v>0</v>
      </c>
      <c r="D193" s="4">
        <v>1</v>
      </c>
      <c r="E193" s="4">
        <v>208</v>
      </c>
      <c r="F193" s="4">
        <f>Source!V170</f>
        <v>0</v>
      </c>
      <c r="G193" s="4" t="s">
        <v>116</v>
      </c>
      <c r="H193" s="4" t="s">
        <v>117</v>
      </c>
      <c r="I193" s="4"/>
      <c r="J193" s="4"/>
      <c r="K193" s="4">
        <v>208</v>
      </c>
      <c r="L193" s="4">
        <v>22</v>
      </c>
      <c r="M193" s="4">
        <v>3</v>
      </c>
      <c r="N193" s="4" t="s">
        <v>3</v>
      </c>
      <c r="O193" s="4">
        <v>-1</v>
      </c>
      <c r="P193" s="4"/>
      <c r="Q193" s="4"/>
      <c r="R193" s="4"/>
      <c r="S193" s="4"/>
      <c r="T193" s="4"/>
      <c r="U193" s="4"/>
      <c r="V193" s="4"/>
      <c r="W193" s="4"/>
    </row>
    <row r="194" spans="1:245" x14ac:dyDescent="0.2">
      <c r="A194" s="4">
        <v>50</v>
      </c>
      <c r="B194" s="4">
        <v>0</v>
      </c>
      <c r="C194" s="4">
        <v>0</v>
      </c>
      <c r="D194" s="4">
        <v>1</v>
      </c>
      <c r="E194" s="4">
        <v>209</v>
      </c>
      <c r="F194" s="4">
        <f>ROUND(Source!W170,O194)</f>
        <v>0</v>
      </c>
      <c r="G194" s="4" t="s">
        <v>118</v>
      </c>
      <c r="H194" s="4" t="s">
        <v>119</v>
      </c>
      <c r="I194" s="4"/>
      <c r="J194" s="4"/>
      <c r="K194" s="4">
        <v>209</v>
      </c>
      <c r="L194" s="4">
        <v>23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45" x14ac:dyDescent="0.2">
      <c r="A195" s="4">
        <v>50</v>
      </c>
      <c r="B195" s="4">
        <v>0</v>
      </c>
      <c r="C195" s="4">
        <v>0</v>
      </c>
      <c r="D195" s="4">
        <v>1</v>
      </c>
      <c r="E195" s="4">
        <v>210</v>
      </c>
      <c r="F195" s="4">
        <f>ROUND(Source!X170,O195)</f>
        <v>148.26</v>
      </c>
      <c r="G195" s="4" t="s">
        <v>120</v>
      </c>
      <c r="H195" s="4" t="s">
        <v>121</v>
      </c>
      <c r="I195" s="4"/>
      <c r="J195" s="4"/>
      <c r="K195" s="4">
        <v>210</v>
      </c>
      <c r="L195" s="4">
        <v>24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45" x14ac:dyDescent="0.2">
      <c r="A196" s="4">
        <v>50</v>
      </c>
      <c r="B196" s="4">
        <v>0</v>
      </c>
      <c r="C196" s="4">
        <v>0</v>
      </c>
      <c r="D196" s="4">
        <v>1</v>
      </c>
      <c r="E196" s="4">
        <v>211</v>
      </c>
      <c r="F196" s="4">
        <f>ROUND(Source!Y170,O196)</f>
        <v>80.58</v>
      </c>
      <c r="G196" s="4" t="s">
        <v>122</v>
      </c>
      <c r="H196" s="4" t="s">
        <v>123</v>
      </c>
      <c r="I196" s="4"/>
      <c r="J196" s="4"/>
      <c r="K196" s="4">
        <v>211</v>
      </c>
      <c r="L196" s="4">
        <v>25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/>
    </row>
    <row r="197" spans="1:245" x14ac:dyDescent="0.2">
      <c r="A197" s="4">
        <v>50</v>
      </c>
      <c r="B197" s="4">
        <v>0</v>
      </c>
      <c r="C197" s="4">
        <v>0</v>
      </c>
      <c r="D197" s="4">
        <v>1</v>
      </c>
      <c r="E197" s="4">
        <v>224</v>
      </c>
      <c r="F197" s="4">
        <f>ROUND(Source!AR170,O197)</f>
        <v>320998.09999999998</v>
      </c>
      <c r="G197" s="4" t="s">
        <v>124</v>
      </c>
      <c r="H197" s="4" t="s">
        <v>125</v>
      </c>
      <c r="I197" s="4"/>
      <c r="J197" s="4"/>
      <c r="K197" s="4">
        <v>224</v>
      </c>
      <c r="L197" s="4">
        <v>26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9" spans="1:245" x14ac:dyDescent="0.2">
      <c r="A199" s="1">
        <v>4</v>
      </c>
      <c r="B199" s="1">
        <v>1</v>
      </c>
      <c r="C199" s="1"/>
      <c r="D199" s="1">
        <f>ROW(A215)</f>
        <v>215</v>
      </c>
      <c r="E199" s="1"/>
      <c r="F199" s="1" t="s">
        <v>12</v>
      </c>
      <c r="G199" s="1" t="s">
        <v>206</v>
      </c>
      <c r="H199" s="1" t="s">
        <v>3</v>
      </c>
      <c r="I199" s="1">
        <v>0</v>
      </c>
      <c r="J199" s="1"/>
      <c r="K199" s="1">
        <v>-1</v>
      </c>
      <c r="L199" s="1"/>
      <c r="M199" s="1"/>
      <c r="N199" s="1"/>
      <c r="O199" s="1"/>
      <c r="P199" s="1"/>
      <c r="Q199" s="1"/>
      <c r="R199" s="1"/>
      <c r="S199" s="1"/>
      <c r="T199" s="1"/>
      <c r="U199" s="1" t="s">
        <v>3</v>
      </c>
      <c r="V199" s="1">
        <v>0</v>
      </c>
      <c r="W199" s="1"/>
      <c r="X199" s="1"/>
      <c r="Y199" s="1"/>
      <c r="Z199" s="1"/>
      <c r="AA199" s="1"/>
      <c r="AB199" s="1" t="s">
        <v>3</v>
      </c>
      <c r="AC199" s="1" t="s">
        <v>3</v>
      </c>
      <c r="AD199" s="1" t="s">
        <v>3</v>
      </c>
      <c r="AE199" s="1" t="s">
        <v>3</v>
      </c>
      <c r="AF199" s="1" t="s">
        <v>3</v>
      </c>
      <c r="AG199" s="1" t="s">
        <v>3</v>
      </c>
      <c r="AH199" s="1"/>
      <c r="AI199" s="1"/>
      <c r="AJ199" s="1"/>
      <c r="AK199" s="1"/>
      <c r="AL199" s="1"/>
      <c r="AM199" s="1"/>
      <c r="AN199" s="1"/>
      <c r="AO199" s="1"/>
      <c r="AP199" s="1" t="s">
        <v>3</v>
      </c>
      <c r="AQ199" s="1" t="s">
        <v>3</v>
      </c>
      <c r="AR199" s="1" t="s">
        <v>3</v>
      </c>
      <c r="AS199" s="1"/>
      <c r="AT199" s="1"/>
      <c r="AU199" s="1"/>
      <c r="AV199" s="1"/>
      <c r="AW199" s="1"/>
      <c r="AX199" s="1"/>
      <c r="AY199" s="1"/>
      <c r="AZ199" s="1" t="s">
        <v>3</v>
      </c>
      <c r="BA199" s="1"/>
      <c r="BB199" s="1" t="s">
        <v>3</v>
      </c>
      <c r="BC199" s="1" t="s">
        <v>3</v>
      </c>
      <c r="BD199" s="1" t="s">
        <v>3</v>
      </c>
      <c r="BE199" s="1" t="s">
        <v>3</v>
      </c>
      <c r="BF199" s="1" t="s">
        <v>3</v>
      </c>
      <c r="BG199" s="1" t="s">
        <v>3</v>
      </c>
      <c r="BH199" s="1" t="s">
        <v>3</v>
      </c>
      <c r="BI199" s="1" t="s">
        <v>3</v>
      </c>
      <c r="BJ199" s="1" t="s">
        <v>3</v>
      </c>
      <c r="BK199" s="1" t="s">
        <v>3</v>
      </c>
      <c r="BL199" s="1" t="s">
        <v>3</v>
      </c>
      <c r="BM199" s="1" t="s">
        <v>3</v>
      </c>
      <c r="BN199" s="1" t="s">
        <v>3</v>
      </c>
      <c r="BO199" s="1" t="s">
        <v>3</v>
      </c>
      <c r="BP199" s="1" t="s">
        <v>3</v>
      </c>
      <c r="BQ199" s="1"/>
      <c r="BR199" s="1"/>
      <c r="BS199" s="1"/>
      <c r="BT199" s="1"/>
      <c r="BU199" s="1"/>
      <c r="BV199" s="1"/>
      <c r="BW199" s="1"/>
      <c r="BX199" s="1">
        <v>0</v>
      </c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>
        <v>0</v>
      </c>
    </row>
    <row r="201" spans="1:245" x14ac:dyDescent="0.2">
      <c r="A201" s="2">
        <v>52</v>
      </c>
      <c r="B201" s="2">
        <f t="shared" ref="B201:G201" si="175">B215</f>
        <v>1</v>
      </c>
      <c r="C201" s="2">
        <f t="shared" si="175"/>
        <v>4</v>
      </c>
      <c r="D201" s="2">
        <f t="shared" si="175"/>
        <v>199</v>
      </c>
      <c r="E201" s="2">
        <f t="shared" si="175"/>
        <v>0</v>
      </c>
      <c r="F201" s="2" t="str">
        <f t="shared" si="175"/>
        <v>Новый раздел</v>
      </c>
      <c r="G201" s="2" t="str">
        <f t="shared" si="175"/>
        <v>БАЙПАС 2Ду300мм -50м</v>
      </c>
      <c r="H201" s="2"/>
      <c r="I201" s="2"/>
      <c r="J201" s="2"/>
      <c r="K201" s="2"/>
      <c r="L201" s="2"/>
      <c r="M201" s="2"/>
      <c r="N201" s="2"/>
      <c r="O201" s="2">
        <f t="shared" ref="O201:AT201" si="176">O215</f>
        <v>573982.73</v>
      </c>
      <c r="P201" s="2">
        <f t="shared" si="176"/>
        <v>456016.5</v>
      </c>
      <c r="Q201" s="2">
        <f t="shared" si="176"/>
        <v>30596.77</v>
      </c>
      <c r="R201" s="2">
        <f t="shared" si="176"/>
        <v>10744.57</v>
      </c>
      <c r="S201" s="2">
        <f t="shared" si="176"/>
        <v>87369.46</v>
      </c>
      <c r="T201" s="2">
        <f t="shared" si="176"/>
        <v>0</v>
      </c>
      <c r="U201" s="2">
        <f t="shared" si="176"/>
        <v>339.01837951899995</v>
      </c>
      <c r="V201" s="2">
        <f t="shared" si="176"/>
        <v>0</v>
      </c>
      <c r="W201" s="2">
        <f t="shared" si="176"/>
        <v>0</v>
      </c>
      <c r="X201" s="2">
        <f t="shared" si="176"/>
        <v>74382.5</v>
      </c>
      <c r="Y201" s="2">
        <f t="shared" si="176"/>
        <v>37650.910000000003</v>
      </c>
      <c r="Z201" s="2">
        <f t="shared" si="176"/>
        <v>0</v>
      </c>
      <c r="AA201" s="2">
        <f t="shared" si="176"/>
        <v>0</v>
      </c>
      <c r="AB201" s="2">
        <f t="shared" si="176"/>
        <v>573982.73</v>
      </c>
      <c r="AC201" s="2">
        <f t="shared" si="176"/>
        <v>456016.5</v>
      </c>
      <c r="AD201" s="2">
        <f t="shared" si="176"/>
        <v>30596.77</v>
      </c>
      <c r="AE201" s="2">
        <f t="shared" si="176"/>
        <v>10744.57</v>
      </c>
      <c r="AF201" s="2">
        <f t="shared" si="176"/>
        <v>87369.46</v>
      </c>
      <c r="AG201" s="2">
        <f t="shared" si="176"/>
        <v>0</v>
      </c>
      <c r="AH201" s="2">
        <f t="shared" si="176"/>
        <v>339.01837951899995</v>
      </c>
      <c r="AI201" s="2">
        <f t="shared" si="176"/>
        <v>0</v>
      </c>
      <c r="AJ201" s="2">
        <f t="shared" si="176"/>
        <v>0</v>
      </c>
      <c r="AK201" s="2">
        <f t="shared" si="176"/>
        <v>74382.5</v>
      </c>
      <c r="AL201" s="2">
        <f t="shared" si="176"/>
        <v>37650.910000000003</v>
      </c>
      <c r="AM201" s="2">
        <f t="shared" si="176"/>
        <v>0</v>
      </c>
      <c r="AN201" s="2">
        <f t="shared" si="176"/>
        <v>0</v>
      </c>
      <c r="AO201" s="2">
        <f t="shared" si="176"/>
        <v>0</v>
      </c>
      <c r="AP201" s="2">
        <f t="shared" si="176"/>
        <v>0</v>
      </c>
      <c r="AQ201" s="2">
        <f t="shared" si="176"/>
        <v>0</v>
      </c>
      <c r="AR201" s="2">
        <f t="shared" si="176"/>
        <v>1364291.52</v>
      </c>
      <c r="AS201" s="2">
        <f t="shared" si="176"/>
        <v>1361134.06</v>
      </c>
      <c r="AT201" s="2">
        <f t="shared" si="176"/>
        <v>0</v>
      </c>
      <c r="AU201" s="2">
        <f t="shared" ref="AU201:BZ201" si="177">AU215</f>
        <v>3157.46</v>
      </c>
      <c r="AV201" s="2">
        <f t="shared" si="177"/>
        <v>456016.5</v>
      </c>
      <c r="AW201" s="2">
        <f t="shared" si="177"/>
        <v>456016.5</v>
      </c>
      <c r="AX201" s="2">
        <f t="shared" si="177"/>
        <v>0</v>
      </c>
      <c r="AY201" s="2">
        <f t="shared" si="177"/>
        <v>456016.5</v>
      </c>
      <c r="AZ201" s="2">
        <f t="shared" si="177"/>
        <v>0</v>
      </c>
      <c r="BA201" s="2">
        <f t="shared" si="177"/>
        <v>0</v>
      </c>
      <c r="BB201" s="2">
        <f t="shared" si="177"/>
        <v>62969.4</v>
      </c>
      <c r="BC201" s="2">
        <f t="shared" si="177"/>
        <v>598437</v>
      </c>
      <c r="BD201" s="2">
        <f t="shared" si="177"/>
        <v>0</v>
      </c>
      <c r="BE201" s="2">
        <f t="shared" si="177"/>
        <v>0</v>
      </c>
      <c r="BF201" s="2">
        <f t="shared" si="177"/>
        <v>0</v>
      </c>
      <c r="BG201" s="2">
        <f t="shared" si="177"/>
        <v>0</v>
      </c>
      <c r="BH201" s="2">
        <f t="shared" si="177"/>
        <v>0</v>
      </c>
      <c r="BI201" s="2">
        <f t="shared" si="177"/>
        <v>0</v>
      </c>
      <c r="BJ201" s="2">
        <f t="shared" si="177"/>
        <v>0</v>
      </c>
      <c r="BK201" s="2">
        <f t="shared" si="177"/>
        <v>0</v>
      </c>
      <c r="BL201" s="2">
        <f t="shared" si="177"/>
        <v>0</v>
      </c>
      <c r="BM201" s="2">
        <f t="shared" si="177"/>
        <v>0</v>
      </c>
      <c r="BN201" s="2">
        <f t="shared" si="177"/>
        <v>0</v>
      </c>
      <c r="BO201" s="2">
        <f t="shared" si="177"/>
        <v>0</v>
      </c>
      <c r="BP201" s="2">
        <f t="shared" si="177"/>
        <v>0</v>
      </c>
      <c r="BQ201" s="2">
        <f t="shared" si="177"/>
        <v>0</v>
      </c>
      <c r="BR201" s="2">
        <f t="shared" si="177"/>
        <v>0</v>
      </c>
      <c r="BS201" s="2">
        <f t="shared" si="177"/>
        <v>0</v>
      </c>
      <c r="BT201" s="2">
        <f t="shared" si="177"/>
        <v>0</v>
      </c>
      <c r="BU201" s="2">
        <f t="shared" si="177"/>
        <v>0</v>
      </c>
      <c r="BV201" s="2">
        <f t="shared" si="177"/>
        <v>0</v>
      </c>
      <c r="BW201" s="2">
        <f t="shared" si="177"/>
        <v>0</v>
      </c>
      <c r="BX201" s="2">
        <f t="shared" si="177"/>
        <v>0</v>
      </c>
      <c r="BY201" s="2">
        <f t="shared" si="177"/>
        <v>0</v>
      </c>
      <c r="BZ201" s="2">
        <f t="shared" si="177"/>
        <v>0</v>
      </c>
      <c r="CA201" s="2">
        <f t="shared" ref="CA201:DF201" si="178">CA215</f>
        <v>1364291.52</v>
      </c>
      <c r="CB201" s="2">
        <f t="shared" si="178"/>
        <v>1361134.06</v>
      </c>
      <c r="CC201" s="2">
        <f t="shared" si="178"/>
        <v>0</v>
      </c>
      <c r="CD201" s="2">
        <f t="shared" si="178"/>
        <v>3157.46</v>
      </c>
      <c r="CE201" s="2">
        <f t="shared" si="178"/>
        <v>456016.5</v>
      </c>
      <c r="CF201" s="2">
        <f t="shared" si="178"/>
        <v>456016.5</v>
      </c>
      <c r="CG201" s="2">
        <f t="shared" si="178"/>
        <v>0</v>
      </c>
      <c r="CH201" s="2">
        <f t="shared" si="178"/>
        <v>456016.5</v>
      </c>
      <c r="CI201" s="2">
        <f t="shared" si="178"/>
        <v>0</v>
      </c>
      <c r="CJ201" s="2">
        <f t="shared" si="178"/>
        <v>0</v>
      </c>
      <c r="CK201" s="2">
        <f t="shared" si="178"/>
        <v>62969.4</v>
      </c>
      <c r="CL201" s="2">
        <f t="shared" si="178"/>
        <v>598437</v>
      </c>
      <c r="CM201" s="2">
        <f t="shared" si="178"/>
        <v>0</v>
      </c>
      <c r="CN201" s="2">
        <f t="shared" si="178"/>
        <v>0</v>
      </c>
      <c r="CO201" s="2">
        <f t="shared" si="178"/>
        <v>0</v>
      </c>
      <c r="CP201" s="2">
        <f t="shared" si="178"/>
        <v>0</v>
      </c>
      <c r="CQ201" s="2">
        <f t="shared" si="178"/>
        <v>0</v>
      </c>
      <c r="CR201" s="2">
        <f t="shared" si="178"/>
        <v>0</v>
      </c>
      <c r="CS201" s="2">
        <f t="shared" si="178"/>
        <v>0</v>
      </c>
      <c r="CT201" s="2">
        <f t="shared" si="178"/>
        <v>0</v>
      </c>
      <c r="CU201" s="2">
        <f t="shared" si="178"/>
        <v>0</v>
      </c>
      <c r="CV201" s="2">
        <f t="shared" si="178"/>
        <v>0</v>
      </c>
      <c r="CW201" s="2">
        <f t="shared" si="178"/>
        <v>0</v>
      </c>
      <c r="CX201" s="2">
        <f t="shared" si="178"/>
        <v>0</v>
      </c>
      <c r="CY201" s="2">
        <f t="shared" si="178"/>
        <v>0</v>
      </c>
      <c r="CZ201" s="2">
        <f t="shared" si="178"/>
        <v>0</v>
      </c>
      <c r="DA201" s="2">
        <f t="shared" si="178"/>
        <v>0</v>
      </c>
      <c r="DB201" s="2">
        <f t="shared" si="178"/>
        <v>0</v>
      </c>
      <c r="DC201" s="2">
        <f t="shared" si="178"/>
        <v>0</v>
      </c>
      <c r="DD201" s="2">
        <f t="shared" si="178"/>
        <v>0</v>
      </c>
      <c r="DE201" s="2">
        <f t="shared" si="178"/>
        <v>0</v>
      </c>
      <c r="DF201" s="2">
        <f t="shared" si="178"/>
        <v>0</v>
      </c>
      <c r="DG201" s="3">
        <f t="shared" ref="DG201:EL201" si="179">DG215</f>
        <v>0</v>
      </c>
      <c r="DH201" s="3">
        <f t="shared" si="179"/>
        <v>0</v>
      </c>
      <c r="DI201" s="3">
        <f t="shared" si="179"/>
        <v>0</v>
      </c>
      <c r="DJ201" s="3">
        <f t="shared" si="179"/>
        <v>0</v>
      </c>
      <c r="DK201" s="3">
        <f t="shared" si="179"/>
        <v>0</v>
      </c>
      <c r="DL201" s="3">
        <f t="shared" si="179"/>
        <v>0</v>
      </c>
      <c r="DM201" s="3">
        <f t="shared" si="179"/>
        <v>0</v>
      </c>
      <c r="DN201" s="3">
        <f t="shared" si="179"/>
        <v>0</v>
      </c>
      <c r="DO201" s="3">
        <f t="shared" si="179"/>
        <v>0</v>
      </c>
      <c r="DP201" s="3">
        <f t="shared" si="179"/>
        <v>0</v>
      </c>
      <c r="DQ201" s="3">
        <f t="shared" si="179"/>
        <v>0</v>
      </c>
      <c r="DR201" s="3">
        <f t="shared" si="179"/>
        <v>0</v>
      </c>
      <c r="DS201" s="3">
        <f t="shared" si="179"/>
        <v>0</v>
      </c>
      <c r="DT201" s="3">
        <f t="shared" si="179"/>
        <v>0</v>
      </c>
      <c r="DU201" s="3">
        <f t="shared" si="179"/>
        <v>0</v>
      </c>
      <c r="DV201" s="3">
        <f t="shared" si="179"/>
        <v>0</v>
      </c>
      <c r="DW201" s="3">
        <f t="shared" si="179"/>
        <v>0</v>
      </c>
      <c r="DX201" s="3">
        <f t="shared" si="179"/>
        <v>0</v>
      </c>
      <c r="DY201" s="3">
        <f t="shared" si="179"/>
        <v>0</v>
      </c>
      <c r="DZ201" s="3">
        <f t="shared" si="179"/>
        <v>0</v>
      </c>
      <c r="EA201" s="3">
        <f t="shared" si="179"/>
        <v>0</v>
      </c>
      <c r="EB201" s="3">
        <f t="shared" si="179"/>
        <v>0</v>
      </c>
      <c r="EC201" s="3">
        <f t="shared" si="179"/>
        <v>0</v>
      </c>
      <c r="ED201" s="3">
        <f t="shared" si="179"/>
        <v>0</v>
      </c>
      <c r="EE201" s="3">
        <f t="shared" si="179"/>
        <v>0</v>
      </c>
      <c r="EF201" s="3">
        <f t="shared" si="179"/>
        <v>0</v>
      </c>
      <c r="EG201" s="3">
        <f t="shared" si="179"/>
        <v>0</v>
      </c>
      <c r="EH201" s="3">
        <f t="shared" si="179"/>
        <v>0</v>
      </c>
      <c r="EI201" s="3">
        <f t="shared" si="179"/>
        <v>0</v>
      </c>
      <c r="EJ201" s="3">
        <f t="shared" si="179"/>
        <v>0</v>
      </c>
      <c r="EK201" s="3">
        <f t="shared" si="179"/>
        <v>0</v>
      </c>
      <c r="EL201" s="3">
        <f t="shared" si="179"/>
        <v>0</v>
      </c>
      <c r="EM201" s="3">
        <f t="shared" ref="EM201:FR201" si="180">EM215</f>
        <v>0</v>
      </c>
      <c r="EN201" s="3">
        <f t="shared" si="180"/>
        <v>0</v>
      </c>
      <c r="EO201" s="3">
        <f t="shared" si="180"/>
        <v>0</v>
      </c>
      <c r="EP201" s="3">
        <f t="shared" si="180"/>
        <v>0</v>
      </c>
      <c r="EQ201" s="3">
        <f t="shared" si="180"/>
        <v>0</v>
      </c>
      <c r="ER201" s="3">
        <f t="shared" si="180"/>
        <v>0</v>
      </c>
      <c r="ES201" s="3">
        <f t="shared" si="180"/>
        <v>0</v>
      </c>
      <c r="ET201" s="3">
        <f t="shared" si="180"/>
        <v>0</v>
      </c>
      <c r="EU201" s="3">
        <f t="shared" si="180"/>
        <v>0</v>
      </c>
      <c r="EV201" s="3">
        <f t="shared" si="180"/>
        <v>0</v>
      </c>
      <c r="EW201" s="3">
        <f t="shared" si="180"/>
        <v>0</v>
      </c>
      <c r="EX201" s="3">
        <f t="shared" si="180"/>
        <v>0</v>
      </c>
      <c r="EY201" s="3">
        <f t="shared" si="180"/>
        <v>0</v>
      </c>
      <c r="EZ201" s="3">
        <f t="shared" si="180"/>
        <v>0</v>
      </c>
      <c r="FA201" s="3">
        <f t="shared" si="180"/>
        <v>0</v>
      </c>
      <c r="FB201" s="3">
        <f t="shared" si="180"/>
        <v>0</v>
      </c>
      <c r="FC201" s="3">
        <f t="shared" si="180"/>
        <v>0</v>
      </c>
      <c r="FD201" s="3">
        <f t="shared" si="180"/>
        <v>0</v>
      </c>
      <c r="FE201" s="3">
        <f t="shared" si="180"/>
        <v>0</v>
      </c>
      <c r="FF201" s="3">
        <f t="shared" si="180"/>
        <v>0</v>
      </c>
      <c r="FG201" s="3">
        <f t="shared" si="180"/>
        <v>0</v>
      </c>
      <c r="FH201" s="3">
        <f t="shared" si="180"/>
        <v>0</v>
      </c>
      <c r="FI201" s="3">
        <f t="shared" si="180"/>
        <v>0</v>
      </c>
      <c r="FJ201" s="3">
        <f t="shared" si="180"/>
        <v>0</v>
      </c>
      <c r="FK201" s="3">
        <f t="shared" si="180"/>
        <v>0</v>
      </c>
      <c r="FL201" s="3">
        <f t="shared" si="180"/>
        <v>0</v>
      </c>
      <c r="FM201" s="3">
        <f t="shared" si="180"/>
        <v>0</v>
      </c>
      <c r="FN201" s="3">
        <f t="shared" si="180"/>
        <v>0</v>
      </c>
      <c r="FO201" s="3">
        <f t="shared" si="180"/>
        <v>0</v>
      </c>
      <c r="FP201" s="3">
        <f t="shared" si="180"/>
        <v>0</v>
      </c>
      <c r="FQ201" s="3">
        <f t="shared" si="180"/>
        <v>0</v>
      </c>
      <c r="FR201" s="3">
        <f t="shared" si="180"/>
        <v>0</v>
      </c>
      <c r="FS201" s="3">
        <f t="shared" ref="FS201:GX201" si="181">FS215</f>
        <v>0</v>
      </c>
      <c r="FT201" s="3">
        <f t="shared" si="181"/>
        <v>0</v>
      </c>
      <c r="FU201" s="3">
        <f t="shared" si="181"/>
        <v>0</v>
      </c>
      <c r="FV201" s="3">
        <f t="shared" si="181"/>
        <v>0</v>
      </c>
      <c r="FW201" s="3">
        <f t="shared" si="181"/>
        <v>0</v>
      </c>
      <c r="FX201" s="3">
        <f t="shared" si="181"/>
        <v>0</v>
      </c>
      <c r="FY201" s="3">
        <f t="shared" si="181"/>
        <v>0</v>
      </c>
      <c r="FZ201" s="3">
        <f t="shared" si="181"/>
        <v>0</v>
      </c>
      <c r="GA201" s="3">
        <f t="shared" si="181"/>
        <v>0</v>
      </c>
      <c r="GB201" s="3">
        <f t="shared" si="181"/>
        <v>0</v>
      </c>
      <c r="GC201" s="3">
        <f t="shared" si="181"/>
        <v>0</v>
      </c>
      <c r="GD201" s="3">
        <f t="shared" si="181"/>
        <v>0</v>
      </c>
      <c r="GE201" s="3">
        <f t="shared" si="181"/>
        <v>0</v>
      </c>
      <c r="GF201" s="3">
        <f t="shared" si="181"/>
        <v>0</v>
      </c>
      <c r="GG201" s="3">
        <f t="shared" si="181"/>
        <v>0</v>
      </c>
      <c r="GH201" s="3">
        <f t="shared" si="181"/>
        <v>0</v>
      </c>
      <c r="GI201" s="3">
        <f t="shared" si="181"/>
        <v>0</v>
      </c>
      <c r="GJ201" s="3">
        <f t="shared" si="181"/>
        <v>0</v>
      </c>
      <c r="GK201" s="3">
        <f t="shared" si="181"/>
        <v>0</v>
      </c>
      <c r="GL201" s="3">
        <f t="shared" si="181"/>
        <v>0</v>
      </c>
      <c r="GM201" s="3">
        <f t="shared" si="181"/>
        <v>0</v>
      </c>
      <c r="GN201" s="3">
        <f t="shared" si="181"/>
        <v>0</v>
      </c>
      <c r="GO201" s="3">
        <f t="shared" si="181"/>
        <v>0</v>
      </c>
      <c r="GP201" s="3">
        <f t="shared" si="181"/>
        <v>0</v>
      </c>
      <c r="GQ201" s="3">
        <f t="shared" si="181"/>
        <v>0</v>
      </c>
      <c r="GR201" s="3">
        <f t="shared" si="181"/>
        <v>0</v>
      </c>
      <c r="GS201" s="3">
        <f t="shared" si="181"/>
        <v>0</v>
      </c>
      <c r="GT201" s="3">
        <f t="shared" si="181"/>
        <v>0</v>
      </c>
      <c r="GU201" s="3">
        <f t="shared" si="181"/>
        <v>0</v>
      </c>
      <c r="GV201" s="3">
        <f t="shared" si="181"/>
        <v>0</v>
      </c>
      <c r="GW201" s="3">
        <f t="shared" si="181"/>
        <v>0</v>
      </c>
      <c r="GX201" s="3">
        <f t="shared" si="181"/>
        <v>0</v>
      </c>
    </row>
    <row r="203" spans="1:245" x14ac:dyDescent="0.2">
      <c r="A203">
        <v>17</v>
      </c>
      <c r="B203">
        <v>1</v>
      </c>
      <c r="C203">
        <f>ROW(SmtRes!A57)</f>
        <v>57</v>
      </c>
      <c r="D203">
        <f>ROW(EtalonRes!A55)</f>
        <v>55</v>
      </c>
      <c r="E203" t="s">
        <v>207</v>
      </c>
      <c r="F203" t="s">
        <v>208</v>
      </c>
      <c r="G203" t="s">
        <v>209</v>
      </c>
      <c r="H203" t="s">
        <v>130</v>
      </c>
      <c r="I203">
        <v>50</v>
      </c>
      <c r="J203">
        <v>0</v>
      </c>
      <c r="O203">
        <f t="shared" ref="O203:O213" si="182">ROUND(CP203,2)</f>
        <v>456016.5</v>
      </c>
      <c r="P203">
        <f t="shared" ref="P203:P213" si="183">ROUND((ROUND((AC203*AW203*I203),2)*BC203),2)</f>
        <v>456016.5</v>
      </c>
      <c r="Q203">
        <f>0</f>
        <v>0</v>
      </c>
      <c r="R203">
        <f t="shared" ref="R203:R213" si="184">ROUND((ROUND((AE203*AV203*I203),2)*BS203),2)</f>
        <v>0</v>
      </c>
      <c r="S203">
        <f>0</f>
        <v>0</v>
      </c>
      <c r="T203">
        <f t="shared" ref="T203:T213" si="185">ROUND(CU203*I203,2)</f>
        <v>0</v>
      </c>
      <c r="U203">
        <f t="shared" ref="U203:U213" si="186">CV203*I203</f>
        <v>0</v>
      </c>
      <c r="V203">
        <f t="shared" ref="V203:V213" si="187">CW203*I203</f>
        <v>0</v>
      </c>
      <c r="W203">
        <f t="shared" ref="W203:W213" si="188">ROUND(CX203*I203,2)</f>
        <v>0</v>
      </c>
      <c r="X203">
        <f t="shared" ref="X203:X213" si="189">ROUND(CY203,2)</f>
        <v>0</v>
      </c>
      <c r="Y203">
        <f t="shared" ref="Y203:Y213" si="190">ROUND(CZ203,2)</f>
        <v>0</v>
      </c>
      <c r="AA203">
        <v>309315610</v>
      </c>
      <c r="AB203">
        <f>ROUND((AC203+0+0),6)</f>
        <v>1987</v>
      </c>
      <c r="AC203">
        <f>ROUND((ES203),6)</f>
        <v>1987</v>
      </c>
      <c r="AD203">
        <f>ROUND(((((ET203*1.15)+(SUM(SmtRes!BD57:'SmtRes'!BD57)+SUM(EtalonRes!AM55:'EtalonRes'!AM55)))-((EU203*1.15)))+AE203),6)</f>
        <v>119.6</v>
      </c>
      <c r="AE203">
        <f>ROUND(((EU203*1.15)),6)</f>
        <v>0</v>
      </c>
      <c r="AF203">
        <f>ROUND(((EV203*1.15)),6)</f>
        <v>678.5</v>
      </c>
      <c r="AG203">
        <f t="shared" ref="AG203:AG213" si="191">ROUND((AP203),6)</f>
        <v>0</v>
      </c>
      <c r="AH203">
        <f>((EW203*1.15))</f>
        <v>0</v>
      </c>
      <c r="AI203">
        <f>((EX203*1.15))</f>
        <v>0</v>
      </c>
      <c r="AJ203">
        <f t="shared" ref="AJ203:AJ213" si="192">(AS203)</f>
        <v>0</v>
      </c>
      <c r="AK203">
        <v>2688</v>
      </c>
      <c r="AL203">
        <v>1987</v>
      </c>
      <c r="AM203">
        <v>111</v>
      </c>
      <c r="AN203">
        <v>0</v>
      </c>
      <c r="AO203">
        <v>590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1</v>
      </c>
      <c r="AW203">
        <v>1</v>
      </c>
      <c r="AZ203">
        <v>1</v>
      </c>
      <c r="BA203">
        <v>17.64</v>
      </c>
      <c r="BB203">
        <v>10.53</v>
      </c>
      <c r="BC203">
        <v>4.59</v>
      </c>
      <c r="BD203" t="s">
        <v>3</v>
      </c>
      <c r="BE203" t="s">
        <v>3</v>
      </c>
      <c r="BF203" t="s">
        <v>3</v>
      </c>
      <c r="BG203" t="s">
        <v>3</v>
      </c>
      <c r="BH203">
        <v>0</v>
      </c>
      <c r="BI203">
        <v>1</v>
      </c>
      <c r="BJ203" t="s">
        <v>210</v>
      </c>
      <c r="BM203">
        <v>1114</v>
      </c>
      <c r="BN203">
        <v>0</v>
      </c>
      <c r="BO203" t="s">
        <v>208</v>
      </c>
      <c r="BP203">
        <v>1</v>
      </c>
      <c r="BQ203">
        <v>160</v>
      </c>
      <c r="BR203">
        <v>0</v>
      </c>
      <c r="BS203">
        <v>17.64</v>
      </c>
      <c r="BT203">
        <v>1</v>
      </c>
      <c r="BU203">
        <v>1</v>
      </c>
      <c r="BV203">
        <v>1</v>
      </c>
      <c r="BW203">
        <v>1</v>
      </c>
      <c r="BX203">
        <v>1</v>
      </c>
      <c r="BY203" t="s">
        <v>3</v>
      </c>
      <c r="BZ203">
        <v>0</v>
      </c>
      <c r="CA203">
        <v>0</v>
      </c>
      <c r="CE203">
        <v>30</v>
      </c>
      <c r="CF203">
        <v>0</v>
      </c>
      <c r="CG203">
        <v>0</v>
      </c>
      <c r="CM203">
        <v>0</v>
      </c>
      <c r="CN203" t="s">
        <v>3</v>
      </c>
      <c r="CO203">
        <v>0</v>
      </c>
      <c r="CP203">
        <f t="shared" ref="CP203:CP213" si="193">(P203+Q203+S203)</f>
        <v>456016.5</v>
      </c>
      <c r="CQ203">
        <f t="shared" ref="CQ203:CQ213" si="194">ROUND((ROUND((AC203*AW203*1),2)*BC203),2)</f>
        <v>9120.33</v>
      </c>
      <c r="CR203">
        <f>(ROUND((ROUND((((ET203*1.15)+(SUM(SmtRes!BD57:'SmtRes'!BD57)+SUM(EtalonRes!AM55:'EtalonRes'!AM55)))*AV203*1),2)*BB203),2)+ROUND((ROUND(((AE203-((EU203*1.15)))*AV203*1),2)*BS203),2))</f>
        <v>1259.3900000000001</v>
      </c>
      <c r="CS203">
        <f t="shared" ref="CS203:CS213" si="195">ROUND((ROUND((AE203*AV203*1),2)*BS203),2)</f>
        <v>0</v>
      </c>
      <c r="CT203">
        <f t="shared" ref="CT203:CT213" si="196">ROUND((ROUND((AF203*AV203*1),2)*BA203),2)</f>
        <v>11968.74</v>
      </c>
      <c r="CU203">
        <f t="shared" ref="CU203:CU213" si="197">AG203</f>
        <v>0</v>
      </c>
      <c r="CV203">
        <f t="shared" ref="CV203:CV213" si="198">(AH203*AV203)</f>
        <v>0</v>
      </c>
      <c r="CW203">
        <f t="shared" ref="CW203:CW213" si="199">AI203</f>
        <v>0</v>
      </c>
      <c r="CX203">
        <f t="shared" ref="CX203:CX213" si="200">AJ203</f>
        <v>0</v>
      </c>
      <c r="CY203">
        <f t="shared" ref="CY203:CY213" si="201">S203*(BZ203/100)</f>
        <v>0</v>
      </c>
      <c r="CZ203">
        <f t="shared" ref="CZ203:CZ213" si="202">S203*(CA203/100)</f>
        <v>0</v>
      </c>
      <c r="DC203" t="s">
        <v>3</v>
      </c>
      <c r="DD203" t="s">
        <v>3</v>
      </c>
      <c r="DE203" t="s">
        <v>39</v>
      </c>
      <c r="DF203" t="s">
        <v>39</v>
      </c>
      <c r="DG203" t="s">
        <v>39</v>
      </c>
      <c r="DH203" t="s">
        <v>3</v>
      </c>
      <c r="DI203" t="s">
        <v>39</v>
      </c>
      <c r="DJ203" t="s">
        <v>39</v>
      </c>
      <c r="DK203" t="s">
        <v>3</v>
      </c>
      <c r="DL203" t="s">
        <v>3</v>
      </c>
      <c r="DM203" t="s">
        <v>3</v>
      </c>
      <c r="DN203">
        <v>0</v>
      </c>
      <c r="DO203">
        <v>0</v>
      </c>
      <c r="DP203">
        <v>1</v>
      </c>
      <c r="DQ203">
        <v>1</v>
      </c>
      <c r="DU203">
        <v>1013</v>
      </c>
      <c r="DV203" t="s">
        <v>130</v>
      </c>
      <c r="DW203" t="s">
        <v>130</v>
      </c>
      <c r="DX203">
        <v>1</v>
      </c>
      <c r="EE203">
        <v>298189190</v>
      </c>
      <c r="EF203">
        <v>160</v>
      </c>
      <c r="EG203" t="s">
        <v>23</v>
      </c>
      <c r="EH203">
        <v>0</v>
      </c>
      <c r="EI203" t="s">
        <v>3</v>
      </c>
      <c r="EJ203">
        <v>1</v>
      </c>
      <c r="EK203">
        <v>1114</v>
      </c>
      <c r="EL203" t="s">
        <v>24</v>
      </c>
      <c r="EM203" t="s">
        <v>25</v>
      </c>
      <c r="EO203" t="s">
        <v>3</v>
      </c>
      <c r="EQ203">
        <v>768</v>
      </c>
      <c r="ER203">
        <v>2688</v>
      </c>
      <c r="ES203">
        <v>1987</v>
      </c>
      <c r="ET203">
        <v>111</v>
      </c>
      <c r="EU203">
        <v>0</v>
      </c>
      <c r="EV203">
        <v>590</v>
      </c>
      <c r="EW203">
        <v>0</v>
      </c>
      <c r="EX203">
        <v>0</v>
      </c>
      <c r="EY203">
        <v>1</v>
      </c>
      <c r="FQ203">
        <v>0</v>
      </c>
      <c r="FR203">
        <f t="shared" ref="FR203:FR213" si="203">ROUND(IF(AND(BH203=3,BI203=3),P203,0),2)</f>
        <v>0</v>
      </c>
      <c r="FS203">
        <v>0</v>
      </c>
      <c r="FX203">
        <v>0</v>
      </c>
      <c r="FY203">
        <v>0</v>
      </c>
      <c r="GA203" t="s">
        <v>3</v>
      </c>
      <c r="GD203">
        <v>1</v>
      </c>
      <c r="GF203">
        <v>-1262651638</v>
      </c>
      <c r="GG203">
        <v>2</v>
      </c>
      <c r="GH203">
        <v>1</v>
      </c>
      <c r="GI203">
        <v>2</v>
      </c>
      <c r="GJ203">
        <v>3</v>
      </c>
      <c r="GK203">
        <v>0</v>
      </c>
      <c r="GL203">
        <f t="shared" ref="GL203:GL213" si="204">ROUND(IF(AND(BH203=3,BI203=3,FS203&lt;&gt;0),P203,0),2)</f>
        <v>0</v>
      </c>
      <c r="GM203">
        <f>ROUND(P203+GY203+GZ203,2)+GX203</f>
        <v>1117422.8999999999</v>
      </c>
      <c r="GN203">
        <f>IF(OR(BI203=0,BI203=1),ROUND(P203+GY203+GZ203,2),0)</f>
        <v>1117422.8999999999</v>
      </c>
      <c r="GO203">
        <f>IF(BI203=2,ROUND(P203+GY203+GZ203,2),0)</f>
        <v>0</v>
      </c>
      <c r="GP203">
        <f>IF(BI203=4,ROUND(P203+GY203+GZ203,2)+GX203,0)</f>
        <v>0</v>
      </c>
      <c r="GR203">
        <v>0</v>
      </c>
      <c r="GS203">
        <v>3</v>
      </c>
      <c r="GT203">
        <v>0</v>
      </c>
      <c r="GU203" t="s">
        <v>3</v>
      </c>
      <c r="GV203">
        <f t="shared" ref="GV203:GV213" si="205">ROUND((GT203),6)</f>
        <v>0</v>
      </c>
      <c r="GW203">
        <v>1</v>
      </c>
      <c r="GX203">
        <f t="shared" ref="GX203:GX213" si="206">ROUND(HC203*I203,2)</f>
        <v>0</v>
      </c>
      <c r="GY203">
        <f>(ROUND((ROUND((((ET203*1.15)+(SUM(SmtRes!BD57:'SmtRes'!BD57)+SUM(EtalonRes!AM55:'EtalonRes'!AM55)))*AV203*I203),2)*BB203),2)+ROUND((ROUND(((AE203-((EU203*1.15)))*AV203*I203),2)*BS203),2))</f>
        <v>62969.4</v>
      </c>
      <c r="GZ203">
        <f>ROUND((ROUND((AF203*AV203*I203),2)*BA203),2)</f>
        <v>598437</v>
      </c>
      <c r="HA203">
        <v>0</v>
      </c>
      <c r="HB203">
        <v>0</v>
      </c>
      <c r="HC203">
        <f t="shared" ref="HC203:HC213" si="207">GV203*GW203</f>
        <v>0</v>
      </c>
      <c r="IK203">
        <v>0</v>
      </c>
    </row>
    <row r="204" spans="1:245" x14ac:dyDescent="0.2">
      <c r="A204">
        <v>17</v>
      </c>
      <c r="B204">
        <v>1</v>
      </c>
      <c r="C204">
        <f>ROW(SmtRes!A74)</f>
        <v>74</v>
      </c>
      <c r="D204">
        <f>ROW(EtalonRes!A75)</f>
        <v>75</v>
      </c>
      <c r="E204" t="s">
        <v>211</v>
      </c>
      <c r="F204" t="s">
        <v>212</v>
      </c>
      <c r="G204" t="s">
        <v>213</v>
      </c>
      <c r="H204" t="s">
        <v>214</v>
      </c>
      <c r="I204">
        <f>ROUND(I203*2/1000,9)</f>
        <v>0.1</v>
      </c>
      <c r="J204">
        <v>0</v>
      </c>
      <c r="O204">
        <f t="shared" si="182"/>
        <v>38035.449999999997</v>
      </c>
      <c r="P204">
        <f t="shared" si="183"/>
        <v>0</v>
      </c>
      <c r="Q204">
        <f>(ROUND((ROUND((((ET204*1.15*0.6)+(SUM(SmtRes!BD58:'SmtRes'!BD74)+SUM(EtalonRes!AM56:'EtalonRes'!AM75)))*AV204*I204),2)*BB204),2)+ROUND((ROUND(((AE204-((EU204*1.15*0.6)+(SUM(SmtRes!BE58:'SmtRes'!BE74)+SUM(EtalonRes!AN56:'EtalonRes'!AN75))))*AV204*I204),2)*BS204),2))</f>
        <v>22790.15</v>
      </c>
      <c r="R204">
        <f t="shared" si="184"/>
        <v>8465.2800000000007</v>
      </c>
      <c r="S204">
        <f t="shared" ref="S204:S213" si="208">ROUND((ROUND((AF204*AV204*I204),2)*BA204),2)</f>
        <v>15245.3</v>
      </c>
      <c r="T204">
        <f t="shared" si="185"/>
        <v>0</v>
      </c>
      <c r="U204">
        <f t="shared" si="186"/>
        <v>74.359229999999997</v>
      </c>
      <c r="V204">
        <f t="shared" si="187"/>
        <v>0</v>
      </c>
      <c r="W204">
        <f t="shared" si="188"/>
        <v>0</v>
      </c>
      <c r="X204">
        <f t="shared" si="189"/>
        <v>16160.02</v>
      </c>
      <c r="Y204">
        <f t="shared" si="190"/>
        <v>8080.01</v>
      </c>
      <c r="AA204">
        <v>309315610</v>
      </c>
      <c r="AB204">
        <f t="shared" ref="AB204:AB213" si="209">ROUND((AC204+AD204+AF204),6)</f>
        <v>28962.834318000001</v>
      </c>
      <c r="AC204">
        <f>ROUND(((ES204*0)),6)</f>
        <v>0</v>
      </c>
      <c r="AD204">
        <f>ROUND(((((ET204*1.15*0.6)+(SUM(SmtRes!BD58:'SmtRes'!BD74)+SUM(EtalonRes!AM56:'EtalonRes'!AM75)))-((EU204*1.15*0.6)+(SUM(SmtRes!BE58:'SmtRes'!BE74)+SUM(EtalonRes!AN56:'EtalonRes'!AN75))))+AE204),6)</f>
        <v>22295.502317999999</v>
      </c>
      <c r="AE204">
        <f>ROUND(((EU204*1.15*0.6)+(SUM(SmtRes!BE58:'SmtRes'!BE74)+SUM(EtalonRes!AN56:'EtalonRes'!AN75))),6)</f>
        <v>3702.2020379999999</v>
      </c>
      <c r="AF204">
        <f>ROUND(((EV204*1.15*0.6)),6)</f>
        <v>6667.3320000000003</v>
      </c>
      <c r="AG204">
        <f t="shared" si="191"/>
        <v>0</v>
      </c>
      <c r="AH204">
        <f>((EW204*1.15*0.6)+(SUM(SmtRes!BG58:'SmtRes'!BG74)+SUM(EtalonRes!AP56:'EtalonRes'!AP75)))</f>
        <v>696.9</v>
      </c>
      <c r="AI204">
        <f>((EX204*1.15*0.6))</f>
        <v>0</v>
      </c>
      <c r="AJ204">
        <f t="shared" si="192"/>
        <v>0</v>
      </c>
      <c r="AK204">
        <v>38274.99</v>
      </c>
      <c r="AL204">
        <v>8354.09</v>
      </c>
      <c r="AM204">
        <v>20258.099999999999</v>
      </c>
      <c r="AN204">
        <v>3120.29</v>
      </c>
      <c r="AO204">
        <v>9662.7999999999993</v>
      </c>
      <c r="AP204">
        <v>0</v>
      </c>
      <c r="AQ204">
        <v>812</v>
      </c>
      <c r="AR204">
        <v>0</v>
      </c>
      <c r="AS204">
        <v>0</v>
      </c>
      <c r="AT204">
        <v>106</v>
      </c>
      <c r="AU204">
        <v>53</v>
      </c>
      <c r="AV204">
        <v>1.0669999999999999</v>
      </c>
      <c r="AW204">
        <v>1.0029999999999999</v>
      </c>
      <c r="AZ204">
        <v>1</v>
      </c>
      <c r="BA204">
        <v>21.43</v>
      </c>
      <c r="BB204">
        <v>9.58</v>
      </c>
      <c r="BC204">
        <v>6.82</v>
      </c>
      <c r="BD204" t="s">
        <v>3</v>
      </c>
      <c r="BE204" t="s">
        <v>3</v>
      </c>
      <c r="BF204" t="s">
        <v>3</v>
      </c>
      <c r="BG204" t="s">
        <v>3</v>
      </c>
      <c r="BH204">
        <v>0</v>
      </c>
      <c r="BI204">
        <v>1</v>
      </c>
      <c r="BJ204" t="s">
        <v>215</v>
      </c>
      <c r="BM204">
        <v>142</v>
      </c>
      <c r="BN204">
        <v>0</v>
      </c>
      <c r="BO204" t="s">
        <v>212</v>
      </c>
      <c r="BP204">
        <v>1</v>
      </c>
      <c r="BQ204">
        <v>30</v>
      </c>
      <c r="BR204">
        <v>0</v>
      </c>
      <c r="BS204">
        <v>21.43</v>
      </c>
      <c r="BT204">
        <v>1</v>
      </c>
      <c r="BU204">
        <v>1</v>
      </c>
      <c r="BV204">
        <v>1</v>
      </c>
      <c r="BW204">
        <v>1</v>
      </c>
      <c r="BX204">
        <v>1</v>
      </c>
      <c r="BY204" t="s">
        <v>3</v>
      </c>
      <c r="BZ204">
        <v>106</v>
      </c>
      <c r="CA204">
        <v>53</v>
      </c>
      <c r="CE204">
        <v>30</v>
      </c>
      <c r="CF204">
        <v>0</v>
      </c>
      <c r="CG204">
        <v>0</v>
      </c>
      <c r="CM204">
        <v>0</v>
      </c>
      <c r="CN204" t="s">
        <v>3</v>
      </c>
      <c r="CO204">
        <v>0</v>
      </c>
      <c r="CP204">
        <f t="shared" si="193"/>
        <v>38035.449999999997</v>
      </c>
      <c r="CQ204">
        <f t="shared" si="194"/>
        <v>0</v>
      </c>
      <c r="CR204">
        <f>(ROUND((ROUND((((ET204*1.15*0.6)+(SUM(SmtRes!BD58:'SmtRes'!BD74)+SUM(EtalonRes!AM56:'EtalonRes'!AM75)))*AV204*1),2)*BB204),2)+ROUND((ROUND(((AE204-((EU204*1.15*0.6)+(SUM(SmtRes!BE58:'SmtRes'!BE74)+SUM(EtalonRes!AN56:'EtalonRes'!AN75))))*AV204*1),2)*BS204),2))</f>
        <v>227901.49</v>
      </c>
      <c r="CS204">
        <f t="shared" si="195"/>
        <v>84653.86</v>
      </c>
      <c r="CT204">
        <f t="shared" si="196"/>
        <v>152453.88</v>
      </c>
      <c r="CU204">
        <f t="shared" si="197"/>
        <v>0</v>
      </c>
      <c r="CV204">
        <f t="shared" si="198"/>
        <v>743.59229999999991</v>
      </c>
      <c r="CW204">
        <f t="shared" si="199"/>
        <v>0</v>
      </c>
      <c r="CX204">
        <f t="shared" si="200"/>
        <v>0</v>
      </c>
      <c r="CY204">
        <f t="shared" si="201"/>
        <v>16160.018</v>
      </c>
      <c r="CZ204">
        <f t="shared" si="202"/>
        <v>8080.009</v>
      </c>
      <c r="DC204" t="s">
        <v>3</v>
      </c>
      <c r="DD204" t="s">
        <v>216</v>
      </c>
      <c r="DE204" t="s">
        <v>217</v>
      </c>
      <c r="DF204" t="s">
        <v>217</v>
      </c>
      <c r="DG204" t="s">
        <v>217</v>
      </c>
      <c r="DH204" t="s">
        <v>3</v>
      </c>
      <c r="DI204" t="s">
        <v>217</v>
      </c>
      <c r="DJ204" t="s">
        <v>217</v>
      </c>
      <c r="DK204" t="s">
        <v>3</v>
      </c>
      <c r="DL204" t="s">
        <v>3</v>
      </c>
      <c r="DM204" t="s">
        <v>3</v>
      </c>
      <c r="DN204">
        <v>133</v>
      </c>
      <c r="DO204">
        <v>113</v>
      </c>
      <c r="DP204">
        <v>1.0669999999999999</v>
      </c>
      <c r="DQ204">
        <v>1.0029999999999999</v>
      </c>
      <c r="DU204">
        <v>1013</v>
      </c>
      <c r="DV204" t="s">
        <v>214</v>
      </c>
      <c r="DW204" t="s">
        <v>214</v>
      </c>
      <c r="DX204">
        <v>1</v>
      </c>
      <c r="EE204">
        <v>298188218</v>
      </c>
      <c r="EF204">
        <v>30</v>
      </c>
      <c r="EG204" t="s">
        <v>46</v>
      </c>
      <c r="EH204">
        <v>0</v>
      </c>
      <c r="EI204" t="s">
        <v>3</v>
      </c>
      <c r="EJ204">
        <v>1</v>
      </c>
      <c r="EK204">
        <v>142</v>
      </c>
      <c r="EL204" t="s">
        <v>152</v>
      </c>
      <c r="EM204" t="s">
        <v>153</v>
      </c>
      <c r="EO204" t="s">
        <v>3</v>
      </c>
      <c r="EQ204">
        <v>768</v>
      </c>
      <c r="ER204">
        <v>38274.99</v>
      </c>
      <c r="ES204">
        <v>8354.09</v>
      </c>
      <c r="ET204">
        <v>20258.099999999999</v>
      </c>
      <c r="EU204">
        <v>3120.29</v>
      </c>
      <c r="EV204">
        <v>9662.7999999999993</v>
      </c>
      <c r="EW204">
        <v>812</v>
      </c>
      <c r="EX204">
        <v>0</v>
      </c>
      <c r="EY204">
        <v>1</v>
      </c>
      <c r="FQ204">
        <v>0</v>
      </c>
      <c r="FR204">
        <f t="shared" si="203"/>
        <v>0</v>
      </c>
      <c r="FS204">
        <v>0</v>
      </c>
      <c r="FX204">
        <v>133</v>
      </c>
      <c r="FY204">
        <v>113</v>
      </c>
      <c r="GA204" t="s">
        <v>3</v>
      </c>
      <c r="GD204">
        <v>0</v>
      </c>
      <c r="GF204">
        <v>-2049360351</v>
      </c>
      <c r="GG204">
        <v>2</v>
      </c>
      <c r="GH204">
        <v>1</v>
      </c>
      <c r="GI204">
        <v>2</v>
      </c>
      <c r="GJ204">
        <v>0</v>
      </c>
      <c r="GK204">
        <f>ROUND(R204*(R12)/100,2)</f>
        <v>13290.49</v>
      </c>
      <c r="GL204">
        <f t="shared" si="204"/>
        <v>0</v>
      </c>
      <c r="GM204">
        <f t="shared" ref="GM204:GM211" si="210">ROUND(O204+X204+Y204+GK204,2)+GX204</f>
        <v>75565.97</v>
      </c>
      <c r="GN204">
        <f t="shared" ref="GN204:GN211" si="211">IF(OR(BI204=0,BI204=1),ROUND(O204+X204+Y204+GK204,2),0)</f>
        <v>75565.97</v>
      </c>
      <c r="GO204">
        <f t="shared" ref="GO204:GO211" si="212">IF(BI204=2,ROUND(O204+X204+Y204+GK204,2),0)</f>
        <v>0</v>
      </c>
      <c r="GP204">
        <f t="shared" ref="GP204:GP211" si="213">IF(BI204=4,ROUND(O204+X204+Y204+GK204,2)+GX204,0)</f>
        <v>0</v>
      </c>
      <c r="GR204">
        <v>0</v>
      </c>
      <c r="GS204">
        <v>3</v>
      </c>
      <c r="GT204">
        <v>0</v>
      </c>
      <c r="GU204" t="s">
        <v>3</v>
      </c>
      <c r="GV204">
        <f t="shared" si="205"/>
        <v>0</v>
      </c>
      <c r="GW204">
        <v>1</v>
      </c>
      <c r="GX204">
        <f t="shared" si="206"/>
        <v>0</v>
      </c>
      <c r="HA204">
        <v>0</v>
      </c>
      <c r="HB204">
        <v>0</v>
      </c>
      <c r="HC204">
        <f t="shared" si="207"/>
        <v>0</v>
      </c>
      <c r="IK204">
        <v>0</v>
      </c>
    </row>
    <row r="205" spans="1:245" x14ac:dyDescent="0.2">
      <c r="A205">
        <v>18</v>
      </c>
      <c r="B205">
        <v>1</v>
      </c>
      <c r="C205">
        <v>74</v>
      </c>
      <c r="E205" t="s">
        <v>218</v>
      </c>
      <c r="F205" t="s">
        <v>219</v>
      </c>
      <c r="G205" t="s">
        <v>3</v>
      </c>
      <c r="H205" t="s">
        <v>29</v>
      </c>
      <c r="I205">
        <f>I204*J205</f>
        <v>0.51400000000000001</v>
      </c>
      <c r="J205">
        <v>5.14</v>
      </c>
      <c r="O205">
        <f t="shared" si="182"/>
        <v>0</v>
      </c>
      <c r="P205">
        <f t="shared" si="183"/>
        <v>0</v>
      </c>
      <c r="Q205">
        <f>(ROUND((ROUND(((ET205)*AV205*I205),2)*BB205),2)+ROUND((ROUND(((AE205-(EU205))*AV205*I205),2)*BS205),2))</f>
        <v>0</v>
      </c>
      <c r="R205">
        <f t="shared" si="184"/>
        <v>0</v>
      </c>
      <c r="S205">
        <f t="shared" si="208"/>
        <v>0</v>
      </c>
      <c r="T205">
        <f t="shared" si="185"/>
        <v>0</v>
      </c>
      <c r="U205">
        <f t="shared" si="186"/>
        <v>0</v>
      </c>
      <c r="V205">
        <f t="shared" si="187"/>
        <v>0</v>
      </c>
      <c r="W205">
        <f t="shared" si="188"/>
        <v>0</v>
      </c>
      <c r="X205">
        <f t="shared" si="189"/>
        <v>0</v>
      </c>
      <c r="Y205">
        <f t="shared" si="190"/>
        <v>0</v>
      </c>
      <c r="AA205">
        <v>309315610</v>
      </c>
      <c r="AB205">
        <f t="shared" si="209"/>
        <v>0</v>
      </c>
      <c r="AC205">
        <f>ROUND((ES205),6)</f>
        <v>0</v>
      </c>
      <c r="AD205">
        <f>ROUND((((ET205)-(EU205))+AE205),6)</f>
        <v>0</v>
      </c>
      <c r="AE205">
        <f>ROUND((EU205),6)</f>
        <v>0</v>
      </c>
      <c r="AF205">
        <f>ROUND((EV205),6)</f>
        <v>0</v>
      </c>
      <c r="AG205">
        <f t="shared" si="191"/>
        <v>0</v>
      </c>
      <c r="AH205">
        <f>(EW205)</f>
        <v>0</v>
      </c>
      <c r="AI205">
        <f>(EX205)</f>
        <v>0</v>
      </c>
      <c r="AJ205">
        <f t="shared" si="192"/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1</v>
      </c>
      <c r="AW205">
        <v>1.0029999999999999</v>
      </c>
      <c r="AZ205">
        <v>1</v>
      </c>
      <c r="BA205">
        <v>1</v>
      </c>
      <c r="BB205">
        <v>1</v>
      </c>
      <c r="BC205">
        <v>1</v>
      </c>
      <c r="BD205" t="s">
        <v>3</v>
      </c>
      <c r="BE205" t="s">
        <v>3</v>
      </c>
      <c r="BF205" t="s">
        <v>3</v>
      </c>
      <c r="BG205" t="s">
        <v>3</v>
      </c>
      <c r="BH205">
        <v>3</v>
      </c>
      <c r="BI205">
        <v>1</v>
      </c>
      <c r="BJ205" t="s">
        <v>3</v>
      </c>
      <c r="BM205">
        <v>142</v>
      </c>
      <c r="BN205">
        <v>0</v>
      </c>
      <c r="BO205" t="s">
        <v>3</v>
      </c>
      <c r="BP205">
        <v>0</v>
      </c>
      <c r="BQ205">
        <v>30</v>
      </c>
      <c r="BR205">
        <v>0</v>
      </c>
      <c r="BS205">
        <v>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3</v>
      </c>
      <c r="BZ205">
        <v>0</v>
      </c>
      <c r="CA205">
        <v>0</v>
      </c>
      <c r="CE205">
        <v>30</v>
      </c>
      <c r="CF205">
        <v>0</v>
      </c>
      <c r="CG205">
        <v>0</v>
      </c>
      <c r="CM205">
        <v>0</v>
      </c>
      <c r="CN205" t="s">
        <v>3</v>
      </c>
      <c r="CO205">
        <v>0</v>
      </c>
      <c r="CP205">
        <f t="shared" si="193"/>
        <v>0</v>
      </c>
      <c r="CQ205">
        <f t="shared" si="194"/>
        <v>0</v>
      </c>
      <c r="CR205">
        <f>(ROUND((ROUND(((ET205)*AV205*1),2)*BB205),2)+ROUND((ROUND(((AE205-(EU205))*AV205*1),2)*BS205),2))</f>
        <v>0</v>
      </c>
      <c r="CS205">
        <f t="shared" si="195"/>
        <v>0</v>
      </c>
      <c r="CT205">
        <f t="shared" si="196"/>
        <v>0</v>
      </c>
      <c r="CU205">
        <f t="shared" si="197"/>
        <v>0</v>
      </c>
      <c r="CV205">
        <f t="shared" si="198"/>
        <v>0</v>
      </c>
      <c r="CW205">
        <f t="shared" si="199"/>
        <v>0</v>
      </c>
      <c r="CX205">
        <f t="shared" si="200"/>
        <v>0</v>
      </c>
      <c r="CY205">
        <f t="shared" si="201"/>
        <v>0</v>
      </c>
      <c r="CZ205">
        <f t="shared" si="202"/>
        <v>0</v>
      </c>
      <c r="DC205" t="s">
        <v>3</v>
      </c>
      <c r="DD205" t="s">
        <v>3</v>
      </c>
      <c r="DE205" t="s">
        <v>3</v>
      </c>
      <c r="DF205" t="s">
        <v>3</v>
      </c>
      <c r="DG205" t="s">
        <v>3</v>
      </c>
      <c r="DH205" t="s">
        <v>3</v>
      </c>
      <c r="DI205" t="s">
        <v>3</v>
      </c>
      <c r="DJ205" t="s">
        <v>3</v>
      </c>
      <c r="DK205" t="s">
        <v>3</v>
      </c>
      <c r="DL205" t="s">
        <v>3</v>
      </c>
      <c r="DM205" t="s">
        <v>3</v>
      </c>
      <c r="DN205">
        <v>133</v>
      </c>
      <c r="DO205">
        <v>113</v>
      </c>
      <c r="DP205">
        <v>1.0669999999999999</v>
      </c>
      <c r="DQ205">
        <v>1.0029999999999999</v>
      </c>
      <c r="DU205">
        <v>1012</v>
      </c>
      <c r="DV205" t="s">
        <v>29</v>
      </c>
      <c r="DW205" t="s">
        <v>220</v>
      </c>
      <c r="DX205">
        <v>1</v>
      </c>
      <c r="EE205">
        <v>298188218</v>
      </c>
      <c r="EF205">
        <v>30</v>
      </c>
      <c r="EG205" t="s">
        <v>46</v>
      </c>
      <c r="EH205">
        <v>0</v>
      </c>
      <c r="EI205" t="s">
        <v>3</v>
      </c>
      <c r="EJ205">
        <v>1</v>
      </c>
      <c r="EK205">
        <v>142</v>
      </c>
      <c r="EL205" t="s">
        <v>152</v>
      </c>
      <c r="EM205" t="s">
        <v>153</v>
      </c>
      <c r="EO205" t="s">
        <v>3</v>
      </c>
      <c r="EQ205">
        <v>0</v>
      </c>
      <c r="ER205">
        <v>0</v>
      </c>
      <c r="ES205">
        <v>0</v>
      </c>
      <c r="ET205">
        <v>0</v>
      </c>
      <c r="EU205">
        <v>0</v>
      </c>
      <c r="EV205">
        <v>0</v>
      </c>
      <c r="EW205">
        <v>0</v>
      </c>
      <c r="EX205">
        <v>0</v>
      </c>
      <c r="FQ205">
        <v>0</v>
      </c>
      <c r="FR205">
        <f t="shared" si="203"/>
        <v>0</v>
      </c>
      <c r="FS205">
        <v>0</v>
      </c>
      <c r="FX205">
        <v>133</v>
      </c>
      <c r="FY205">
        <v>113</v>
      </c>
      <c r="GA205" t="s">
        <v>3</v>
      </c>
      <c r="GD205">
        <v>0</v>
      </c>
      <c r="GF205">
        <v>472712974</v>
      </c>
      <c r="GG205">
        <v>2</v>
      </c>
      <c r="GH205">
        <v>0</v>
      </c>
      <c r="GI205">
        <v>-2</v>
      </c>
      <c r="GJ205">
        <v>0</v>
      </c>
      <c r="GK205">
        <f>ROUND(R205*(R12)/100,2)</f>
        <v>0</v>
      </c>
      <c r="GL205">
        <f t="shared" si="204"/>
        <v>0</v>
      </c>
      <c r="GM205">
        <f t="shared" si="210"/>
        <v>0</v>
      </c>
      <c r="GN205">
        <f t="shared" si="211"/>
        <v>0</v>
      </c>
      <c r="GO205">
        <f t="shared" si="212"/>
        <v>0</v>
      </c>
      <c r="GP205">
        <f t="shared" si="213"/>
        <v>0</v>
      </c>
      <c r="GR205">
        <v>0</v>
      </c>
      <c r="GS205">
        <v>0</v>
      </c>
      <c r="GT205">
        <v>0</v>
      </c>
      <c r="GU205" t="s">
        <v>3</v>
      </c>
      <c r="GV205">
        <f t="shared" si="205"/>
        <v>0</v>
      </c>
      <c r="GW205">
        <v>1</v>
      </c>
      <c r="GX205">
        <f t="shared" si="206"/>
        <v>0</v>
      </c>
      <c r="HA205">
        <v>0</v>
      </c>
      <c r="HB205">
        <v>0</v>
      </c>
      <c r="HC205">
        <f t="shared" si="207"/>
        <v>0</v>
      </c>
      <c r="IK205">
        <v>0</v>
      </c>
    </row>
    <row r="206" spans="1:245" x14ac:dyDescent="0.2">
      <c r="A206">
        <v>18</v>
      </c>
      <c r="B206">
        <v>1</v>
      </c>
      <c r="C206">
        <v>73</v>
      </c>
      <c r="E206" t="s">
        <v>221</v>
      </c>
      <c r="F206" t="s">
        <v>222</v>
      </c>
      <c r="G206" t="s">
        <v>223</v>
      </c>
      <c r="H206" t="s">
        <v>29</v>
      </c>
      <c r="I206">
        <f>I204*J206</f>
        <v>5.8730000000000002</v>
      </c>
      <c r="J206">
        <v>58.73</v>
      </c>
      <c r="O206">
        <f t="shared" si="182"/>
        <v>0</v>
      </c>
      <c r="P206">
        <f t="shared" si="183"/>
        <v>0</v>
      </c>
      <c r="Q206">
        <f>(ROUND((ROUND(((ET206)*AV206*I206),2)*BB206),2)+ROUND((ROUND(((AE206-(EU206))*AV206*I206),2)*BS206),2))</f>
        <v>0</v>
      </c>
      <c r="R206">
        <f t="shared" si="184"/>
        <v>0</v>
      </c>
      <c r="S206">
        <f t="shared" si="208"/>
        <v>0</v>
      </c>
      <c r="T206">
        <f t="shared" si="185"/>
        <v>0</v>
      </c>
      <c r="U206">
        <f t="shared" si="186"/>
        <v>0</v>
      </c>
      <c r="V206">
        <f t="shared" si="187"/>
        <v>0</v>
      </c>
      <c r="W206">
        <f t="shared" si="188"/>
        <v>0</v>
      </c>
      <c r="X206">
        <f t="shared" si="189"/>
        <v>0</v>
      </c>
      <c r="Y206">
        <f t="shared" si="190"/>
        <v>0</v>
      </c>
      <c r="AA206">
        <v>309315610</v>
      </c>
      <c r="AB206">
        <f t="shared" si="209"/>
        <v>0</v>
      </c>
      <c r="AC206">
        <f>ROUND((ES206),6)</f>
        <v>0</v>
      </c>
      <c r="AD206">
        <f>ROUND((((ET206)-(EU206))+AE206),6)</f>
        <v>0</v>
      </c>
      <c r="AE206">
        <f>ROUND((EU206),6)</f>
        <v>0</v>
      </c>
      <c r="AF206">
        <f>ROUND((EV206),6)</f>
        <v>0</v>
      </c>
      <c r="AG206">
        <f t="shared" si="191"/>
        <v>0</v>
      </c>
      <c r="AH206">
        <f>(EW206)</f>
        <v>0</v>
      </c>
      <c r="AI206">
        <f>(EX206)</f>
        <v>0</v>
      </c>
      <c r="AJ206">
        <f t="shared" si="192"/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1</v>
      </c>
      <c r="AW206">
        <v>1.0029999999999999</v>
      </c>
      <c r="AZ206">
        <v>1</v>
      </c>
      <c r="BA206">
        <v>1</v>
      </c>
      <c r="BB206">
        <v>1</v>
      </c>
      <c r="BC206">
        <v>1</v>
      </c>
      <c r="BD206" t="s">
        <v>3</v>
      </c>
      <c r="BE206" t="s">
        <v>3</v>
      </c>
      <c r="BF206" t="s">
        <v>3</v>
      </c>
      <c r="BG206" t="s">
        <v>3</v>
      </c>
      <c r="BH206">
        <v>3</v>
      </c>
      <c r="BI206">
        <v>1</v>
      </c>
      <c r="BJ206" t="s">
        <v>3</v>
      </c>
      <c r="BM206">
        <v>142</v>
      </c>
      <c r="BN206">
        <v>0</v>
      </c>
      <c r="BO206" t="s">
        <v>3</v>
      </c>
      <c r="BP206">
        <v>0</v>
      </c>
      <c r="BQ206">
        <v>30</v>
      </c>
      <c r="BR206">
        <v>0</v>
      </c>
      <c r="BS206">
        <v>1</v>
      </c>
      <c r="BT206">
        <v>1</v>
      </c>
      <c r="BU206">
        <v>1</v>
      </c>
      <c r="BV206">
        <v>1</v>
      </c>
      <c r="BW206">
        <v>1</v>
      </c>
      <c r="BX206">
        <v>1</v>
      </c>
      <c r="BY206" t="s">
        <v>3</v>
      </c>
      <c r="BZ206">
        <v>0</v>
      </c>
      <c r="CA206">
        <v>0</v>
      </c>
      <c r="CE206">
        <v>30</v>
      </c>
      <c r="CF206">
        <v>0</v>
      </c>
      <c r="CG206">
        <v>0</v>
      </c>
      <c r="CM206">
        <v>0</v>
      </c>
      <c r="CN206" t="s">
        <v>3</v>
      </c>
      <c r="CO206">
        <v>0</v>
      </c>
      <c r="CP206">
        <f t="shared" si="193"/>
        <v>0</v>
      </c>
      <c r="CQ206">
        <f t="shared" si="194"/>
        <v>0</v>
      </c>
      <c r="CR206">
        <f>(ROUND((ROUND(((ET206)*AV206*1),2)*BB206),2)+ROUND((ROUND(((AE206-(EU206))*AV206*1),2)*BS206),2))</f>
        <v>0</v>
      </c>
      <c r="CS206">
        <f t="shared" si="195"/>
        <v>0</v>
      </c>
      <c r="CT206">
        <f t="shared" si="196"/>
        <v>0</v>
      </c>
      <c r="CU206">
        <f t="shared" si="197"/>
        <v>0</v>
      </c>
      <c r="CV206">
        <f t="shared" si="198"/>
        <v>0</v>
      </c>
      <c r="CW206">
        <f t="shared" si="199"/>
        <v>0</v>
      </c>
      <c r="CX206">
        <f t="shared" si="200"/>
        <v>0</v>
      </c>
      <c r="CY206">
        <f t="shared" si="201"/>
        <v>0</v>
      </c>
      <c r="CZ206">
        <f t="shared" si="202"/>
        <v>0</v>
      </c>
      <c r="DC206" t="s">
        <v>3</v>
      </c>
      <c r="DD206" t="s">
        <v>3</v>
      </c>
      <c r="DE206" t="s">
        <v>3</v>
      </c>
      <c r="DF206" t="s">
        <v>3</v>
      </c>
      <c r="DG206" t="s">
        <v>3</v>
      </c>
      <c r="DH206" t="s">
        <v>3</v>
      </c>
      <c r="DI206" t="s">
        <v>3</v>
      </c>
      <c r="DJ206" t="s">
        <v>3</v>
      </c>
      <c r="DK206" t="s">
        <v>3</v>
      </c>
      <c r="DL206" t="s">
        <v>3</v>
      </c>
      <c r="DM206" t="s">
        <v>3</v>
      </c>
      <c r="DN206">
        <v>133</v>
      </c>
      <c r="DO206">
        <v>113</v>
      </c>
      <c r="DP206">
        <v>1.0669999999999999</v>
      </c>
      <c r="DQ206">
        <v>1.0029999999999999</v>
      </c>
      <c r="DU206">
        <v>1012</v>
      </c>
      <c r="DV206" t="s">
        <v>29</v>
      </c>
      <c r="DW206" t="s">
        <v>220</v>
      </c>
      <c r="DX206">
        <v>1</v>
      </c>
      <c r="EE206">
        <v>298188218</v>
      </c>
      <c r="EF206">
        <v>30</v>
      </c>
      <c r="EG206" t="s">
        <v>46</v>
      </c>
      <c r="EH206">
        <v>0</v>
      </c>
      <c r="EI206" t="s">
        <v>3</v>
      </c>
      <c r="EJ206">
        <v>1</v>
      </c>
      <c r="EK206">
        <v>142</v>
      </c>
      <c r="EL206" t="s">
        <v>152</v>
      </c>
      <c r="EM206" t="s">
        <v>153</v>
      </c>
      <c r="EO206" t="s">
        <v>3</v>
      </c>
      <c r="EQ206">
        <v>0</v>
      </c>
      <c r="ER206">
        <v>0</v>
      </c>
      <c r="ES206">
        <v>0</v>
      </c>
      <c r="ET206">
        <v>0</v>
      </c>
      <c r="EU206">
        <v>0</v>
      </c>
      <c r="EV206">
        <v>0</v>
      </c>
      <c r="EW206">
        <v>0</v>
      </c>
      <c r="EX206">
        <v>0</v>
      </c>
      <c r="FQ206">
        <v>0</v>
      </c>
      <c r="FR206">
        <f t="shared" si="203"/>
        <v>0</v>
      </c>
      <c r="FS206">
        <v>0</v>
      </c>
      <c r="FX206">
        <v>133</v>
      </c>
      <c r="FY206">
        <v>113</v>
      </c>
      <c r="GA206" t="s">
        <v>3</v>
      </c>
      <c r="GD206">
        <v>0</v>
      </c>
      <c r="GF206">
        <v>-1116666975</v>
      </c>
      <c r="GG206">
        <v>2</v>
      </c>
      <c r="GH206">
        <v>0</v>
      </c>
      <c r="GI206">
        <v>-2</v>
      </c>
      <c r="GJ206">
        <v>0</v>
      </c>
      <c r="GK206">
        <f>ROUND(R206*(R12)/100,2)</f>
        <v>0</v>
      </c>
      <c r="GL206">
        <f t="shared" si="204"/>
        <v>0</v>
      </c>
      <c r="GM206">
        <f t="shared" si="210"/>
        <v>0</v>
      </c>
      <c r="GN206">
        <f t="shared" si="211"/>
        <v>0</v>
      </c>
      <c r="GO206">
        <f t="shared" si="212"/>
        <v>0</v>
      </c>
      <c r="GP206">
        <f t="shared" si="213"/>
        <v>0</v>
      </c>
      <c r="GR206">
        <v>0</v>
      </c>
      <c r="GS206">
        <v>0</v>
      </c>
      <c r="GT206">
        <v>0</v>
      </c>
      <c r="GU206" t="s">
        <v>3</v>
      </c>
      <c r="GV206">
        <f t="shared" si="205"/>
        <v>0</v>
      </c>
      <c r="GW206">
        <v>1</v>
      </c>
      <c r="GX206">
        <f t="shared" si="206"/>
        <v>0</v>
      </c>
      <c r="HA206">
        <v>0</v>
      </c>
      <c r="HB206">
        <v>0</v>
      </c>
      <c r="HC206">
        <f t="shared" si="207"/>
        <v>0</v>
      </c>
      <c r="IK206">
        <v>0</v>
      </c>
    </row>
    <row r="207" spans="1:245" x14ac:dyDescent="0.2">
      <c r="A207">
        <v>17</v>
      </c>
      <c r="B207">
        <v>1</v>
      </c>
      <c r="C207">
        <f>ROW(SmtRes!A76)</f>
        <v>76</v>
      </c>
      <c r="D207">
        <f>ROW(EtalonRes!A76)</f>
        <v>76</v>
      </c>
      <c r="E207" t="s">
        <v>224</v>
      </c>
      <c r="F207" t="s">
        <v>225</v>
      </c>
      <c r="G207" t="s">
        <v>226</v>
      </c>
      <c r="H207" t="s">
        <v>227</v>
      </c>
      <c r="I207">
        <f>ROUND(158.57/100,9)</f>
        <v>1.5857000000000001</v>
      </c>
      <c r="J207">
        <v>0</v>
      </c>
      <c r="O207">
        <f t="shared" si="182"/>
        <v>8295.98</v>
      </c>
      <c r="P207">
        <f t="shared" si="183"/>
        <v>0</v>
      </c>
      <c r="Q207">
        <f>(ROUND((ROUND((((ET207*1.1))*AV207*I207),2)*BB207),2)+ROUND((ROUND(((AE207-((EU207*1.1)))*AV207*I207),2)*BS207),2))</f>
        <v>0</v>
      </c>
      <c r="R207">
        <f t="shared" si="184"/>
        <v>0</v>
      </c>
      <c r="S207">
        <f t="shared" si="208"/>
        <v>8295.98</v>
      </c>
      <c r="T207">
        <f t="shared" si="185"/>
        <v>0</v>
      </c>
      <c r="U207">
        <f t="shared" si="186"/>
        <v>35.547699319000003</v>
      </c>
      <c r="V207">
        <f t="shared" si="187"/>
        <v>0</v>
      </c>
      <c r="W207">
        <f t="shared" si="188"/>
        <v>0</v>
      </c>
      <c r="X207">
        <f t="shared" si="189"/>
        <v>7798.22</v>
      </c>
      <c r="Y207">
        <f t="shared" si="190"/>
        <v>3401.35</v>
      </c>
      <c r="AA207">
        <v>309315610</v>
      </c>
      <c r="AB207">
        <f t="shared" si="209"/>
        <v>228.8</v>
      </c>
      <c r="AC207">
        <f>ROUND((ES207),6)</f>
        <v>0</v>
      </c>
      <c r="AD207">
        <f>ROUND(((((ET207*1.1))-((EU207*1.1)))+AE207),6)</f>
        <v>0</v>
      </c>
      <c r="AE207">
        <f>ROUND(((EU207*1.1)),6)</f>
        <v>0</v>
      </c>
      <c r="AF207">
        <f>ROUND(((EV207*1.1)),6)</f>
        <v>228.8</v>
      </c>
      <c r="AG207">
        <f t="shared" si="191"/>
        <v>0</v>
      </c>
      <c r="AH207">
        <f>((EW207*1.1))</f>
        <v>21.01</v>
      </c>
      <c r="AI207">
        <f>((EX207*1.1))</f>
        <v>0</v>
      </c>
      <c r="AJ207">
        <f t="shared" si="192"/>
        <v>0</v>
      </c>
      <c r="AK207">
        <v>208</v>
      </c>
      <c r="AL207">
        <v>0</v>
      </c>
      <c r="AM207">
        <v>0</v>
      </c>
      <c r="AN207">
        <v>0</v>
      </c>
      <c r="AO207">
        <v>208</v>
      </c>
      <c r="AP207">
        <v>0</v>
      </c>
      <c r="AQ207">
        <v>19.100000000000001</v>
      </c>
      <c r="AR207">
        <v>0</v>
      </c>
      <c r="AS207">
        <v>0</v>
      </c>
      <c r="AT207">
        <v>94</v>
      </c>
      <c r="AU207">
        <v>41</v>
      </c>
      <c r="AV207">
        <v>1.0669999999999999</v>
      </c>
      <c r="AW207">
        <v>1.0029999999999999</v>
      </c>
      <c r="AZ207">
        <v>1</v>
      </c>
      <c r="BA207">
        <v>21.43</v>
      </c>
      <c r="BB207">
        <v>1</v>
      </c>
      <c r="BC207">
        <v>1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1</v>
      </c>
      <c r="BJ207" t="s">
        <v>228</v>
      </c>
      <c r="BM207">
        <v>651</v>
      </c>
      <c r="BN207">
        <v>0</v>
      </c>
      <c r="BO207" t="s">
        <v>225</v>
      </c>
      <c r="BP207">
        <v>1</v>
      </c>
      <c r="BQ207">
        <v>60</v>
      </c>
      <c r="BR207">
        <v>0</v>
      </c>
      <c r="BS207">
        <v>21.43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94</v>
      </c>
      <c r="CA207">
        <v>41</v>
      </c>
      <c r="CE207">
        <v>30</v>
      </c>
      <c r="CF207">
        <v>0</v>
      </c>
      <c r="CG207">
        <v>0</v>
      </c>
      <c r="CM207">
        <v>0</v>
      </c>
      <c r="CN207" t="s">
        <v>229</v>
      </c>
      <c r="CO207">
        <v>0</v>
      </c>
      <c r="CP207">
        <f t="shared" si="193"/>
        <v>8295.98</v>
      </c>
      <c r="CQ207">
        <f t="shared" si="194"/>
        <v>0</v>
      </c>
      <c r="CR207">
        <f>(ROUND((ROUND((((ET207*1.1))*AV207*1),2)*BB207),2)+ROUND((ROUND(((AE207-((EU207*1.1)))*AV207*1),2)*BS207),2))</f>
        <v>0</v>
      </c>
      <c r="CS207">
        <f t="shared" si="195"/>
        <v>0</v>
      </c>
      <c r="CT207">
        <f t="shared" si="196"/>
        <v>5231.71</v>
      </c>
      <c r="CU207">
        <f t="shared" si="197"/>
        <v>0</v>
      </c>
      <c r="CV207">
        <f t="shared" si="198"/>
        <v>22.417670000000001</v>
      </c>
      <c r="CW207">
        <f t="shared" si="199"/>
        <v>0</v>
      </c>
      <c r="CX207">
        <f t="shared" si="200"/>
        <v>0</v>
      </c>
      <c r="CY207">
        <f t="shared" si="201"/>
        <v>7798.221199999999</v>
      </c>
      <c r="CZ207">
        <f t="shared" si="202"/>
        <v>3401.3517999999995</v>
      </c>
      <c r="DC207" t="s">
        <v>3</v>
      </c>
      <c r="DD207" t="s">
        <v>3</v>
      </c>
      <c r="DE207" t="s">
        <v>230</v>
      </c>
      <c r="DF207" t="s">
        <v>230</v>
      </c>
      <c r="DG207" t="s">
        <v>230</v>
      </c>
      <c r="DH207" t="s">
        <v>3</v>
      </c>
      <c r="DI207" t="s">
        <v>230</v>
      </c>
      <c r="DJ207" t="s">
        <v>230</v>
      </c>
      <c r="DK207" t="s">
        <v>3</v>
      </c>
      <c r="DL207" t="s">
        <v>3</v>
      </c>
      <c r="DM207" t="s">
        <v>3</v>
      </c>
      <c r="DN207">
        <v>116</v>
      </c>
      <c r="DO207">
        <v>68</v>
      </c>
      <c r="DP207">
        <v>1.0669999999999999</v>
      </c>
      <c r="DQ207">
        <v>1.0029999999999999</v>
      </c>
      <c r="DU207">
        <v>1005</v>
      </c>
      <c r="DV207" t="s">
        <v>227</v>
      </c>
      <c r="DW207" t="s">
        <v>227</v>
      </c>
      <c r="DX207">
        <v>100</v>
      </c>
      <c r="EE207">
        <v>298188727</v>
      </c>
      <c r="EF207">
        <v>60</v>
      </c>
      <c r="EG207" t="s">
        <v>231</v>
      </c>
      <c r="EH207">
        <v>0</v>
      </c>
      <c r="EI207" t="s">
        <v>3</v>
      </c>
      <c r="EJ207">
        <v>1</v>
      </c>
      <c r="EK207">
        <v>651</v>
      </c>
      <c r="EL207" t="s">
        <v>232</v>
      </c>
      <c r="EM207" t="s">
        <v>233</v>
      </c>
      <c r="EO207" t="s">
        <v>3</v>
      </c>
      <c r="EQ207">
        <v>512</v>
      </c>
      <c r="ER207">
        <v>208</v>
      </c>
      <c r="ES207">
        <v>0</v>
      </c>
      <c r="ET207">
        <v>0</v>
      </c>
      <c r="EU207">
        <v>0</v>
      </c>
      <c r="EV207">
        <v>208</v>
      </c>
      <c r="EW207">
        <v>19.100000000000001</v>
      </c>
      <c r="EX207">
        <v>0</v>
      </c>
      <c r="EY207">
        <v>0</v>
      </c>
      <c r="FQ207">
        <v>0</v>
      </c>
      <c r="FR207">
        <f t="shared" si="203"/>
        <v>0</v>
      </c>
      <c r="FS207">
        <v>0</v>
      </c>
      <c r="FX207">
        <v>116</v>
      </c>
      <c r="FY207">
        <v>68</v>
      </c>
      <c r="GA207" t="s">
        <v>3</v>
      </c>
      <c r="GD207">
        <v>0</v>
      </c>
      <c r="GF207">
        <v>2106379729</v>
      </c>
      <c r="GG207">
        <v>2</v>
      </c>
      <c r="GH207">
        <v>1</v>
      </c>
      <c r="GI207">
        <v>2</v>
      </c>
      <c r="GJ207">
        <v>0</v>
      </c>
      <c r="GK207">
        <f>ROUND(R207*(R12)/100,2)</f>
        <v>0</v>
      </c>
      <c r="GL207">
        <f t="shared" si="204"/>
        <v>0</v>
      </c>
      <c r="GM207">
        <f t="shared" si="210"/>
        <v>19495.55</v>
      </c>
      <c r="GN207">
        <f t="shared" si="211"/>
        <v>19495.55</v>
      </c>
      <c r="GO207">
        <f t="shared" si="212"/>
        <v>0</v>
      </c>
      <c r="GP207">
        <f t="shared" si="213"/>
        <v>0</v>
      </c>
      <c r="GR207">
        <v>0</v>
      </c>
      <c r="GS207">
        <v>0</v>
      </c>
      <c r="GT207">
        <v>0</v>
      </c>
      <c r="GU207" t="s">
        <v>3</v>
      </c>
      <c r="GV207">
        <f t="shared" si="205"/>
        <v>0</v>
      </c>
      <c r="GW207">
        <v>1</v>
      </c>
      <c r="GX207">
        <f t="shared" si="206"/>
        <v>0</v>
      </c>
      <c r="HA207">
        <v>0</v>
      </c>
      <c r="HB207">
        <v>0</v>
      </c>
      <c r="HC207">
        <f t="shared" si="207"/>
        <v>0</v>
      </c>
      <c r="IK207">
        <v>0</v>
      </c>
    </row>
    <row r="208" spans="1:245" x14ac:dyDescent="0.2">
      <c r="A208">
        <v>18</v>
      </c>
      <c r="B208">
        <v>1</v>
      </c>
      <c r="C208">
        <v>76</v>
      </c>
      <c r="E208" t="s">
        <v>234</v>
      </c>
      <c r="F208" t="s">
        <v>27</v>
      </c>
      <c r="G208" t="s">
        <v>28</v>
      </c>
      <c r="H208" t="s">
        <v>29</v>
      </c>
      <c r="I208">
        <f>I207*J208</f>
        <v>2.35</v>
      </c>
      <c r="J208">
        <v>1.481995333291291</v>
      </c>
      <c r="O208">
        <f t="shared" si="182"/>
        <v>0</v>
      </c>
      <c r="P208">
        <f t="shared" si="183"/>
        <v>0</v>
      </c>
      <c r="Q208">
        <f>(ROUND((ROUND(((ET208)*AV208*I208),2)*BB208),2)+ROUND((ROUND(((AE208-(EU208))*AV208*I208),2)*BS208),2))</f>
        <v>0</v>
      </c>
      <c r="R208">
        <f t="shared" si="184"/>
        <v>0</v>
      </c>
      <c r="S208">
        <f t="shared" si="208"/>
        <v>0</v>
      </c>
      <c r="T208">
        <f t="shared" si="185"/>
        <v>0</v>
      </c>
      <c r="U208">
        <f t="shared" si="186"/>
        <v>0</v>
      </c>
      <c r="V208">
        <f t="shared" si="187"/>
        <v>0</v>
      </c>
      <c r="W208">
        <f t="shared" si="188"/>
        <v>0</v>
      </c>
      <c r="X208">
        <f t="shared" si="189"/>
        <v>0</v>
      </c>
      <c r="Y208">
        <f t="shared" si="190"/>
        <v>0</v>
      </c>
      <c r="AA208">
        <v>309315610</v>
      </c>
      <c r="AB208">
        <f t="shared" si="209"/>
        <v>0</v>
      </c>
      <c r="AC208">
        <f>ROUND((ES208),6)</f>
        <v>0</v>
      </c>
      <c r="AD208">
        <f>ROUND((((ET208)-(EU208))+AE208),6)</f>
        <v>0</v>
      </c>
      <c r="AE208">
        <f>ROUND((EU208),6)</f>
        <v>0</v>
      </c>
      <c r="AF208">
        <f>ROUND((EV208),6)</f>
        <v>0</v>
      </c>
      <c r="AG208">
        <f t="shared" si="191"/>
        <v>0</v>
      </c>
      <c r="AH208">
        <f>(EW208)</f>
        <v>0</v>
      </c>
      <c r="AI208">
        <f>(EX208)</f>
        <v>0</v>
      </c>
      <c r="AJ208">
        <f t="shared" si="192"/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1</v>
      </c>
      <c r="AW208">
        <v>1.0029999999999999</v>
      </c>
      <c r="AZ208">
        <v>1</v>
      </c>
      <c r="BA208">
        <v>1</v>
      </c>
      <c r="BB208">
        <v>1</v>
      </c>
      <c r="BC208">
        <v>1</v>
      </c>
      <c r="BD208" t="s">
        <v>3</v>
      </c>
      <c r="BE208" t="s">
        <v>3</v>
      </c>
      <c r="BF208" t="s">
        <v>3</v>
      </c>
      <c r="BG208" t="s">
        <v>3</v>
      </c>
      <c r="BH208">
        <v>3</v>
      </c>
      <c r="BI208">
        <v>1</v>
      </c>
      <c r="BJ208" t="s">
        <v>3</v>
      </c>
      <c r="BM208">
        <v>651</v>
      </c>
      <c r="BN208">
        <v>0</v>
      </c>
      <c r="BO208" t="s">
        <v>3</v>
      </c>
      <c r="BP208">
        <v>0</v>
      </c>
      <c r="BQ208">
        <v>60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0</v>
      </c>
      <c r="CA208">
        <v>0</v>
      </c>
      <c r="CE208">
        <v>30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si="193"/>
        <v>0</v>
      </c>
      <c r="CQ208">
        <f t="shared" si="194"/>
        <v>0</v>
      </c>
      <c r="CR208">
        <f>(ROUND((ROUND(((ET208)*AV208*1),2)*BB208),2)+ROUND((ROUND(((AE208-(EU208))*AV208*1),2)*BS208),2))</f>
        <v>0</v>
      </c>
      <c r="CS208">
        <f t="shared" si="195"/>
        <v>0</v>
      </c>
      <c r="CT208">
        <f t="shared" si="196"/>
        <v>0</v>
      </c>
      <c r="CU208">
        <f t="shared" si="197"/>
        <v>0</v>
      </c>
      <c r="CV208">
        <f t="shared" si="198"/>
        <v>0</v>
      </c>
      <c r="CW208">
        <f t="shared" si="199"/>
        <v>0</v>
      </c>
      <c r="CX208">
        <f t="shared" si="200"/>
        <v>0</v>
      </c>
      <c r="CY208">
        <f t="shared" si="201"/>
        <v>0</v>
      </c>
      <c r="CZ208">
        <f t="shared" si="202"/>
        <v>0</v>
      </c>
      <c r="DC208" t="s">
        <v>3</v>
      </c>
      <c r="DD208" t="s">
        <v>3</v>
      </c>
      <c r="DE208" t="s">
        <v>3</v>
      </c>
      <c r="DF208" t="s">
        <v>3</v>
      </c>
      <c r="DG208" t="s">
        <v>3</v>
      </c>
      <c r="DH208" t="s">
        <v>3</v>
      </c>
      <c r="DI208" t="s">
        <v>3</v>
      </c>
      <c r="DJ208" t="s">
        <v>3</v>
      </c>
      <c r="DK208" t="s">
        <v>3</v>
      </c>
      <c r="DL208" t="s">
        <v>3</v>
      </c>
      <c r="DM208" t="s">
        <v>3</v>
      </c>
      <c r="DN208">
        <v>116</v>
      </c>
      <c r="DO208">
        <v>68</v>
      </c>
      <c r="DP208">
        <v>1.0669999999999999</v>
      </c>
      <c r="DQ208">
        <v>1.0029999999999999</v>
      </c>
      <c r="DU208">
        <v>1009</v>
      </c>
      <c r="DV208" t="s">
        <v>29</v>
      </c>
      <c r="DW208" t="s">
        <v>29</v>
      </c>
      <c r="DX208">
        <v>1000</v>
      </c>
      <c r="EE208">
        <v>298188727</v>
      </c>
      <c r="EF208">
        <v>60</v>
      </c>
      <c r="EG208" t="s">
        <v>231</v>
      </c>
      <c r="EH208">
        <v>0</v>
      </c>
      <c r="EI208" t="s">
        <v>3</v>
      </c>
      <c r="EJ208">
        <v>1</v>
      </c>
      <c r="EK208">
        <v>651</v>
      </c>
      <c r="EL208" t="s">
        <v>232</v>
      </c>
      <c r="EM208" t="s">
        <v>233</v>
      </c>
      <c r="EO208" t="s">
        <v>3</v>
      </c>
      <c r="EQ208">
        <v>512</v>
      </c>
      <c r="ER208">
        <v>0</v>
      </c>
      <c r="ES208">
        <v>0</v>
      </c>
      <c r="ET208">
        <v>0</v>
      </c>
      <c r="EU208">
        <v>0</v>
      </c>
      <c r="EV208">
        <v>0</v>
      </c>
      <c r="EW208">
        <v>0</v>
      </c>
      <c r="EX208">
        <v>0</v>
      </c>
      <c r="FQ208">
        <v>0</v>
      </c>
      <c r="FR208">
        <f t="shared" si="203"/>
        <v>0</v>
      </c>
      <c r="FS208">
        <v>0</v>
      </c>
      <c r="FX208">
        <v>116</v>
      </c>
      <c r="FY208">
        <v>68</v>
      </c>
      <c r="GA208" t="s">
        <v>3</v>
      </c>
      <c r="GD208">
        <v>0</v>
      </c>
      <c r="GF208">
        <v>1489638031</v>
      </c>
      <c r="GG208">
        <v>2</v>
      </c>
      <c r="GH208">
        <v>1</v>
      </c>
      <c r="GI208">
        <v>-2</v>
      </c>
      <c r="GJ208">
        <v>0</v>
      </c>
      <c r="GK208">
        <f>ROUND(R208*(R12)/100,2)</f>
        <v>0</v>
      </c>
      <c r="GL208">
        <f t="shared" si="204"/>
        <v>0</v>
      </c>
      <c r="GM208">
        <f t="shared" si="210"/>
        <v>0</v>
      </c>
      <c r="GN208">
        <f t="shared" si="211"/>
        <v>0</v>
      </c>
      <c r="GO208">
        <f t="shared" si="212"/>
        <v>0</v>
      </c>
      <c r="GP208">
        <f t="shared" si="213"/>
        <v>0</v>
      </c>
      <c r="GR208">
        <v>0</v>
      </c>
      <c r="GS208">
        <v>0</v>
      </c>
      <c r="GT208">
        <v>0</v>
      </c>
      <c r="GU208" t="s">
        <v>3</v>
      </c>
      <c r="GV208">
        <f t="shared" si="205"/>
        <v>0</v>
      </c>
      <c r="GW208">
        <v>1</v>
      </c>
      <c r="GX208">
        <f t="shared" si="206"/>
        <v>0</v>
      </c>
      <c r="HA208">
        <v>0</v>
      </c>
      <c r="HB208">
        <v>0</v>
      </c>
      <c r="HC208">
        <f t="shared" si="207"/>
        <v>0</v>
      </c>
      <c r="IK208">
        <v>0</v>
      </c>
    </row>
    <row r="209" spans="1:245" x14ac:dyDescent="0.2">
      <c r="A209">
        <v>17</v>
      </c>
      <c r="B209">
        <v>1</v>
      </c>
      <c r="C209">
        <f>ROW(SmtRes!A83)</f>
        <v>83</v>
      </c>
      <c r="D209">
        <f>ROW(EtalonRes!A82)</f>
        <v>82</v>
      </c>
      <c r="E209" t="s">
        <v>235</v>
      </c>
      <c r="F209" t="s">
        <v>236</v>
      </c>
      <c r="G209" t="s">
        <v>237</v>
      </c>
      <c r="H209" t="s">
        <v>238</v>
      </c>
      <c r="I209">
        <f>ROUND(I207*100,9)</f>
        <v>158.57</v>
      </c>
      <c r="J209">
        <v>0</v>
      </c>
      <c r="O209">
        <f t="shared" si="182"/>
        <v>67666.61</v>
      </c>
      <c r="P209">
        <f t="shared" si="183"/>
        <v>0</v>
      </c>
      <c r="Q209">
        <f>(ROUND((ROUND((((ET209*1.15*0.6))*AV209*I209),2)*BB209),2)+ROUND((ROUND(((AE209-((EU209*1.15*0.6)))*AV209*I209),2)*BS209),2))</f>
        <v>3838.43</v>
      </c>
      <c r="R209">
        <f t="shared" si="184"/>
        <v>1914.77</v>
      </c>
      <c r="S209">
        <f t="shared" si="208"/>
        <v>63828.18</v>
      </c>
      <c r="T209">
        <f t="shared" si="185"/>
        <v>0</v>
      </c>
      <c r="U209">
        <f t="shared" si="186"/>
        <v>229.11145019999995</v>
      </c>
      <c r="V209">
        <f t="shared" si="187"/>
        <v>0</v>
      </c>
      <c r="W209">
        <f t="shared" si="188"/>
        <v>0</v>
      </c>
      <c r="X209">
        <f t="shared" si="189"/>
        <v>50424.26</v>
      </c>
      <c r="Y209">
        <f t="shared" si="190"/>
        <v>26169.55</v>
      </c>
      <c r="AA209">
        <v>309315610</v>
      </c>
      <c r="AB209">
        <f t="shared" si="209"/>
        <v>20.679300000000001</v>
      </c>
      <c r="AC209">
        <f>ROUND(((ES209*0)),6)</f>
        <v>0</v>
      </c>
      <c r="AD209">
        <f>ROUND(((((ET209*1.15*0.6))-((EU209*1.15*0.6)))+AE209),6)</f>
        <v>2.7393000000000001</v>
      </c>
      <c r="AE209">
        <f>ROUND(((EU209*1.15*0.6)),6)</f>
        <v>0.53820000000000001</v>
      </c>
      <c r="AF209">
        <f>ROUND(((EV209*1.15*0.6)),6)</f>
        <v>17.940000000000001</v>
      </c>
      <c r="AG209">
        <f t="shared" si="191"/>
        <v>0</v>
      </c>
      <c r="AH209">
        <f>((EW209*1.15*0.6))</f>
        <v>1.38</v>
      </c>
      <c r="AI209">
        <f>((EX209*1.15*0.6))</f>
        <v>0</v>
      </c>
      <c r="AJ209">
        <f t="shared" si="192"/>
        <v>0</v>
      </c>
      <c r="AK209">
        <v>96.87</v>
      </c>
      <c r="AL209">
        <v>66.900000000000006</v>
      </c>
      <c r="AM209">
        <v>3.97</v>
      </c>
      <c r="AN209">
        <v>0.78</v>
      </c>
      <c r="AO209">
        <v>26</v>
      </c>
      <c r="AP209">
        <v>0</v>
      </c>
      <c r="AQ209">
        <v>2</v>
      </c>
      <c r="AR209">
        <v>0</v>
      </c>
      <c r="AS209">
        <v>0</v>
      </c>
      <c r="AT209">
        <v>79</v>
      </c>
      <c r="AU209">
        <v>41</v>
      </c>
      <c r="AV209">
        <v>1.0469999999999999</v>
      </c>
      <c r="AW209">
        <v>1.0189999999999999</v>
      </c>
      <c r="AZ209">
        <v>1</v>
      </c>
      <c r="BA209">
        <v>21.43</v>
      </c>
      <c r="BB209">
        <v>8.44</v>
      </c>
      <c r="BC209">
        <v>4.99</v>
      </c>
      <c r="BD209" t="s">
        <v>3</v>
      </c>
      <c r="BE209" t="s">
        <v>3</v>
      </c>
      <c r="BF209" t="s">
        <v>3</v>
      </c>
      <c r="BG209" t="s">
        <v>3</v>
      </c>
      <c r="BH209">
        <v>0</v>
      </c>
      <c r="BI209">
        <v>1</v>
      </c>
      <c r="BJ209" t="s">
        <v>239</v>
      </c>
      <c r="BM209">
        <v>143</v>
      </c>
      <c r="BN209">
        <v>0</v>
      </c>
      <c r="BO209" t="s">
        <v>236</v>
      </c>
      <c r="BP209">
        <v>1</v>
      </c>
      <c r="BQ209">
        <v>30</v>
      </c>
      <c r="BR209">
        <v>0</v>
      </c>
      <c r="BS209">
        <v>21.43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79</v>
      </c>
      <c r="CA209">
        <v>41</v>
      </c>
      <c r="CE209">
        <v>30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 t="shared" si="193"/>
        <v>67666.61</v>
      </c>
      <c r="CQ209">
        <f t="shared" si="194"/>
        <v>0</v>
      </c>
      <c r="CR209">
        <f>(ROUND((ROUND((((ET209*1.15*0.6))*AV209*1),2)*BB209),2)+ROUND((ROUND(((AE209-((EU209*1.15*0.6)))*AV209*1),2)*BS209),2))</f>
        <v>24.22</v>
      </c>
      <c r="CS209">
        <f t="shared" si="195"/>
        <v>12</v>
      </c>
      <c r="CT209">
        <f t="shared" si="196"/>
        <v>402.46</v>
      </c>
      <c r="CU209">
        <f t="shared" si="197"/>
        <v>0</v>
      </c>
      <c r="CV209">
        <f t="shared" si="198"/>
        <v>1.4448599999999998</v>
      </c>
      <c r="CW209">
        <f t="shared" si="199"/>
        <v>0</v>
      </c>
      <c r="CX209">
        <f t="shared" si="200"/>
        <v>0</v>
      </c>
      <c r="CY209">
        <f t="shared" si="201"/>
        <v>50424.262200000005</v>
      </c>
      <c r="CZ209">
        <f t="shared" si="202"/>
        <v>26169.553799999998</v>
      </c>
      <c r="DC209" t="s">
        <v>3</v>
      </c>
      <c r="DD209" t="s">
        <v>216</v>
      </c>
      <c r="DE209" t="s">
        <v>217</v>
      </c>
      <c r="DF209" t="s">
        <v>217</v>
      </c>
      <c r="DG209" t="s">
        <v>217</v>
      </c>
      <c r="DH209" t="s">
        <v>3</v>
      </c>
      <c r="DI209" t="s">
        <v>217</v>
      </c>
      <c r="DJ209" t="s">
        <v>217</v>
      </c>
      <c r="DK209" t="s">
        <v>3</v>
      </c>
      <c r="DL209" t="s">
        <v>3</v>
      </c>
      <c r="DM209" t="s">
        <v>3</v>
      </c>
      <c r="DN209">
        <v>98</v>
      </c>
      <c r="DO209">
        <v>73</v>
      </c>
      <c r="DP209">
        <v>1.0469999999999999</v>
      </c>
      <c r="DQ209">
        <v>1.0189999999999999</v>
      </c>
      <c r="DU209">
        <v>1013</v>
      </c>
      <c r="DV209" t="s">
        <v>238</v>
      </c>
      <c r="DW209" t="s">
        <v>238</v>
      </c>
      <c r="DX209">
        <v>1</v>
      </c>
      <c r="EE209">
        <v>298188219</v>
      </c>
      <c r="EF209">
        <v>30</v>
      </c>
      <c r="EG209" t="s">
        <v>46</v>
      </c>
      <c r="EH209">
        <v>0</v>
      </c>
      <c r="EI209" t="s">
        <v>3</v>
      </c>
      <c r="EJ209">
        <v>1</v>
      </c>
      <c r="EK209">
        <v>143</v>
      </c>
      <c r="EL209" t="s">
        <v>240</v>
      </c>
      <c r="EM209" t="s">
        <v>241</v>
      </c>
      <c r="EO209" t="s">
        <v>3</v>
      </c>
      <c r="EQ209">
        <v>256</v>
      </c>
      <c r="ER209">
        <v>96.87</v>
      </c>
      <c r="ES209">
        <v>66.900000000000006</v>
      </c>
      <c r="ET209">
        <v>3.97</v>
      </c>
      <c r="EU209">
        <v>0.78</v>
      </c>
      <c r="EV209">
        <v>26</v>
      </c>
      <c r="EW209">
        <v>2</v>
      </c>
      <c r="EX209">
        <v>0</v>
      </c>
      <c r="EY209">
        <v>0</v>
      </c>
      <c r="FQ209">
        <v>0</v>
      </c>
      <c r="FR209">
        <f t="shared" si="203"/>
        <v>0</v>
      </c>
      <c r="FS209">
        <v>0</v>
      </c>
      <c r="FX209">
        <v>98</v>
      </c>
      <c r="FY209">
        <v>73</v>
      </c>
      <c r="GA209" t="s">
        <v>3</v>
      </c>
      <c r="GD209">
        <v>0</v>
      </c>
      <c r="GF209">
        <v>-1683267224</v>
      </c>
      <c r="GG209">
        <v>2</v>
      </c>
      <c r="GH209">
        <v>1</v>
      </c>
      <c r="GI209">
        <v>2</v>
      </c>
      <c r="GJ209">
        <v>0</v>
      </c>
      <c r="GK209">
        <f>ROUND(R209*(R12)/100,2)</f>
        <v>3006.19</v>
      </c>
      <c r="GL209">
        <f t="shared" si="204"/>
        <v>0</v>
      </c>
      <c r="GM209">
        <f t="shared" si="210"/>
        <v>147266.60999999999</v>
      </c>
      <c r="GN209">
        <f t="shared" si="211"/>
        <v>147266.60999999999</v>
      </c>
      <c r="GO209">
        <f t="shared" si="212"/>
        <v>0</v>
      </c>
      <c r="GP209">
        <f t="shared" si="213"/>
        <v>0</v>
      </c>
      <c r="GR209">
        <v>0</v>
      </c>
      <c r="GS209">
        <v>0</v>
      </c>
      <c r="GT209">
        <v>0</v>
      </c>
      <c r="GU209" t="s">
        <v>3</v>
      </c>
      <c r="GV209">
        <f t="shared" si="205"/>
        <v>0</v>
      </c>
      <c r="GW209">
        <v>1</v>
      </c>
      <c r="GX209">
        <f t="shared" si="206"/>
        <v>0</v>
      </c>
      <c r="HA209">
        <v>0</v>
      </c>
      <c r="HB209">
        <v>0</v>
      </c>
      <c r="HC209">
        <f t="shared" si="207"/>
        <v>0</v>
      </c>
      <c r="IK209">
        <v>0</v>
      </c>
    </row>
    <row r="210" spans="1:245" x14ac:dyDescent="0.2">
      <c r="A210">
        <v>18</v>
      </c>
      <c r="B210">
        <v>1</v>
      </c>
      <c r="C210">
        <v>79</v>
      </c>
      <c r="E210" t="s">
        <v>242</v>
      </c>
      <c r="F210" t="s">
        <v>3</v>
      </c>
      <c r="G210" t="s">
        <v>222</v>
      </c>
      <c r="H210" t="s">
        <v>29</v>
      </c>
      <c r="I210">
        <f>I209*J210</f>
        <v>1.244775</v>
      </c>
      <c r="J210">
        <v>7.8500031531815607E-3</v>
      </c>
      <c r="O210">
        <f t="shared" si="182"/>
        <v>0</v>
      </c>
      <c r="P210">
        <f t="shared" si="183"/>
        <v>0</v>
      </c>
      <c r="Q210">
        <f>(ROUND((ROUND(((ET210)*AV210*I210),2)*BB210),2)+ROUND((ROUND(((AE210-(EU210))*AV210*I210),2)*BS210),2))</f>
        <v>0</v>
      </c>
      <c r="R210">
        <f t="shared" si="184"/>
        <v>0</v>
      </c>
      <c r="S210">
        <f t="shared" si="208"/>
        <v>0</v>
      </c>
      <c r="T210">
        <f t="shared" si="185"/>
        <v>0</v>
      </c>
      <c r="U210">
        <f t="shared" si="186"/>
        <v>0</v>
      </c>
      <c r="V210">
        <f t="shared" si="187"/>
        <v>0</v>
      </c>
      <c r="W210">
        <f t="shared" si="188"/>
        <v>0</v>
      </c>
      <c r="X210">
        <f t="shared" si="189"/>
        <v>0</v>
      </c>
      <c r="Y210">
        <f t="shared" si="190"/>
        <v>0</v>
      </c>
      <c r="AA210">
        <v>309315610</v>
      </c>
      <c r="AB210">
        <f t="shared" si="209"/>
        <v>0</v>
      </c>
      <c r="AC210">
        <f>ROUND((ES210),6)</f>
        <v>0</v>
      </c>
      <c r="AD210">
        <f>ROUND((((ET210)-(EU210))+AE210),6)</f>
        <v>0</v>
      </c>
      <c r="AE210">
        <f>ROUND((EU210),6)</f>
        <v>0</v>
      </c>
      <c r="AF210">
        <f>ROUND((EV210),6)</f>
        <v>0</v>
      </c>
      <c r="AG210">
        <f t="shared" si="191"/>
        <v>0</v>
      </c>
      <c r="AH210">
        <f>(EW210)</f>
        <v>0</v>
      </c>
      <c r="AI210">
        <f>(EX210)</f>
        <v>0</v>
      </c>
      <c r="AJ210">
        <f t="shared" si="192"/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1</v>
      </c>
      <c r="AW210">
        <v>1.0189999999999999</v>
      </c>
      <c r="AZ210">
        <v>1</v>
      </c>
      <c r="BA210">
        <v>1</v>
      </c>
      <c r="BB210">
        <v>1</v>
      </c>
      <c r="BC210">
        <v>1</v>
      </c>
      <c r="BD210" t="s">
        <v>3</v>
      </c>
      <c r="BE210" t="s">
        <v>3</v>
      </c>
      <c r="BF210" t="s">
        <v>3</v>
      </c>
      <c r="BG210" t="s">
        <v>3</v>
      </c>
      <c r="BH210">
        <v>3</v>
      </c>
      <c r="BI210">
        <v>1</v>
      </c>
      <c r="BJ210" t="s">
        <v>3</v>
      </c>
      <c r="BM210">
        <v>143</v>
      </c>
      <c r="BN210">
        <v>0</v>
      </c>
      <c r="BO210" t="s">
        <v>3</v>
      </c>
      <c r="BP210">
        <v>0</v>
      </c>
      <c r="BQ210">
        <v>30</v>
      </c>
      <c r="BR210">
        <v>0</v>
      </c>
      <c r="BS210">
        <v>1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0</v>
      </c>
      <c r="CA210">
        <v>0</v>
      </c>
      <c r="CE210">
        <v>30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 t="shared" si="193"/>
        <v>0</v>
      </c>
      <c r="CQ210">
        <f t="shared" si="194"/>
        <v>0</v>
      </c>
      <c r="CR210">
        <f>(ROUND((ROUND(((ET210)*AV210*1),2)*BB210),2)+ROUND((ROUND(((AE210-(EU210))*AV210*1),2)*BS210),2))</f>
        <v>0</v>
      </c>
      <c r="CS210">
        <f t="shared" si="195"/>
        <v>0</v>
      </c>
      <c r="CT210">
        <f t="shared" si="196"/>
        <v>0</v>
      </c>
      <c r="CU210">
        <f t="shared" si="197"/>
        <v>0</v>
      </c>
      <c r="CV210">
        <f t="shared" si="198"/>
        <v>0</v>
      </c>
      <c r="CW210">
        <f t="shared" si="199"/>
        <v>0</v>
      </c>
      <c r="CX210">
        <f t="shared" si="200"/>
        <v>0</v>
      </c>
      <c r="CY210">
        <f t="shared" si="201"/>
        <v>0</v>
      </c>
      <c r="CZ210">
        <f t="shared" si="202"/>
        <v>0</v>
      </c>
      <c r="DC210" t="s">
        <v>3</v>
      </c>
      <c r="DD210" t="s">
        <v>3</v>
      </c>
      <c r="DE210" t="s">
        <v>3</v>
      </c>
      <c r="DF210" t="s">
        <v>3</v>
      </c>
      <c r="DG210" t="s">
        <v>3</v>
      </c>
      <c r="DH210" t="s">
        <v>3</v>
      </c>
      <c r="DI210" t="s">
        <v>3</v>
      </c>
      <c r="DJ210" t="s">
        <v>3</v>
      </c>
      <c r="DK210" t="s">
        <v>3</v>
      </c>
      <c r="DL210" t="s">
        <v>3</v>
      </c>
      <c r="DM210" t="s">
        <v>3</v>
      </c>
      <c r="DN210">
        <v>98</v>
      </c>
      <c r="DO210">
        <v>73</v>
      </c>
      <c r="DP210">
        <v>1.0469999999999999</v>
      </c>
      <c r="DQ210">
        <v>1.0189999999999999</v>
      </c>
      <c r="DU210">
        <v>1012</v>
      </c>
      <c r="DV210" t="s">
        <v>29</v>
      </c>
      <c r="DW210" t="s">
        <v>220</v>
      </c>
      <c r="DX210">
        <v>1</v>
      </c>
      <c r="EE210">
        <v>298188219</v>
      </c>
      <c r="EF210">
        <v>30</v>
      </c>
      <c r="EG210" t="s">
        <v>46</v>
      </c>
      <c r="EH210">
        <v>0</v>
      </c>
      <c r="EI210" t="s">
        <v>3</v>
      </c>
      <c r="EJ210">
        <v>1</v>
      </c>
      <c r="EK210">
        <v>143</v>
      </c>
      <c r="EL210" t="s">
        <v>240</v>
      </c>
      <c r="EM210" t="s">
        <v>241</v>
      </c>
      <c r="EO210" t="s">
        <v>3</v>
      </c>
      <c r="EQ210">
        <v>0</v>
      </c>
      <c r="ER210">
        <v>0</v>
      </c>
      <c r="ES210">
        <v>0</v>
      </c>
      <c r="ET210">
        <v>0</v>
      </c>
      <c r="EU210">
        <v>0</v>
      </c>
      <c r="EV210">
        <v>0</v>
      </c>
      <c r="EW210">
        <v>0</v>
      </c>
      <c r="EX210">
        <v>0</v>
      </c>
      <c r="FQ210">
        <v>0</v>
      </c>
      <c r="FR210">
        <f t="shared" si="203"/>
        <v>0</v>
      </c>
      <c r="FS210">
        <v>0</v>
      </c>
      <c r="FX210">
        <v>98</v>
      </c>
      <c r="FY210">
        <v>73</v>
      </c>
      <c r="GA210" t="s">
        <v>3</v>
      </c>
      <c r="GD210">
        <v>0</v>
      </c>
      <c r="GF210">
        <v>-127353063</v>
      </c>
      <c r="GG210">
        <v>2</v>
      </c>
      <c r="GH210">
        <v>0</v>
      </c>
      <c r="GI210">
        <v>-2</v>
      </c>
      <c r="GJ210">
        <v>0</v>
      </c>
      <c r="GK210">
        <f>ROUND(R210*(R12)/100,2)</f>
        <v>0</v>
      </c>
      <c r="GL210">
        <f t="shared" si="204"/>
        <v>0</v>
      </c>
      <c r="GM210">
        <f t="shared" si="210"/>
        <v>0</v>
      </c>
      <c r="GN210">
        <f t="shared" si="211"/>
        <v>0</v>
      </c>
      <c r="GO210">
        <f t="shared" si="212"/>
        <v>0</v>
      </c>
      <c r="GP210">
        <f t="shared" si="213"/>
        <v>0</v>
      </c>
      <c r="GR210">
        <v>0</v>
      </c>
      <c r="GS210">
        <v>0</v>
      </c>
      <c r="GT210">
        <v>0</v>
      </c>
      <c r="GU210" t="s">
        <v>3</v>
      </c>
      <c r="GV210">
        <f t="shared" si="205"/>
        <v>0</v>
      </c>
      <c r="GW210">
        <v>1</v>
      </c>
      <c r="GX210">
        <f t="shared" si="206"/>
        <v>0</v>
      </c>
      <c r="HA210">
        <v>0</v>
      </c>
      <c r="HB210">
        <v>0</v>
      </c>
      <c r="HC210">
        <f t="shared" si="207"/>
        <v>0</v>
      </c>
      <c r="IK210">
        <v>0</v>
      </c>
    </row>
    <row r="211" spans="1:245" x14ac:dyDescent="0.2">
      <c r="A211">
        <v>17</v>
      </c>
      <c r="B211">
        <v>1</v>
      </c>
      <c r="C211">
        <f>ROW(SmtRes!A84)</f>
        <v>84</v>
      </c>
      <c r="D211">
        <f>ROW(EtalonRes!A83)</f>
        <v>83</v>
      </c>
      <c r="E211" t="s">
        <v>243</v>
      </c>
      <c r="F211" t="s">
        <v>244</v>
      </c>
      <c r="G211" t="s">
        <v>245</v>
      </c>
      <c r="H211" t="s">
        <v>60</v>
      </c>
      <c r="I211">
        <f>ROUND(I205+I206+I208+I210,4)</f>
        <v>9.9817999999999998</v>
      </c>
      <c r="J211">
        <v>0</v>
      </c>
      <c r="O211">
        <f t="shared" si="182"/>
        <v>810.73</v>
      </c>
      <c r="P211">
        <f t="shared" si="183"/>
        <v>0</v>
      </c>
      <c r="Q211">
        <f>(ROUND((ROUND((((ET211*1.1))*AV211*I211),2)*BB211),2)+ROUND((ROUND(((AE211-((EU211*1.1)))*AV211*I211),2)*BS211),2))</f>
        <v>810.73</v>
      </c>
      <c r="R211">
        <f t="shared" si="184"/>
        <v>364.52</v>
      </c>
      <c r="S211">
        <f t="shared" si="208"/>
        <v>0</v>
      </c>
      <c r="T211">
        <f t="shared" si="185"/>
        <v>0</v>
      </c>
      <c r="U211">
        <f t="shared" si="186"/>
        <v>0</v>
      </c>
      <c r="V211">
        <f t="shared" si="187"/>
        <v>0</v>
      </c>
      <c r="W211">
        <f t="shared" si="188"/>
        <v>0</v>
      </c>
      <c r="X211">
        <f t="shared" si="189"/>
        <v>0</v>
      </c>
      <c r="Y211">
        <f t="shared" si="190"/>
        <v>0</v>
      </c>
      <c r="AA211">
        <v>309315610</v>
      </c>
      <c r="AB211">
        <f t="shared" si="209"/>
        <v>9.7460000000000004</v>
      </c>
      <c r="AC211">
        <f>ROUND((ES211),6)</f>
        <v>0</v>
      </c>
      <c r="AD211">
        <f>ROUND(((((ET211*1.1))-((EU211*1.1)))+AE211),6)</f>
        <v>9.7460000000000004</v>
      </c>
      <c r="AE211">
        <f>ROUND(((EU211*1.1)),6)</f>
        <v>1.6279999999999999</v>
      </c>
      <c r="AF211">
        <f>ROUND(((EV211*1.1)),6)</f>
        <v>0</v>
      </c>
      <c r="AG211">
        <f t="shared" si="191"/>
        <v>0</v>
      </c>
      <c r="AH211">
        <f>((EW211*1.1))</f>
        <v>0</v>
      </c>
      <c r="AI211">
        <f>((EX211*1.1))</f>
        <v>0</v>
      </c>
      <c r="AJ211">
        <f t="shared" si="192"/>
        <v>0</v>
      </c>
      <c r="AK211">
        <v>8.86</v>
      </c>
      <c r="AL211">
        <v>0</v>
      </c>
      <c r="AM211">
        <v>8.86</v>
      </c>
      <c r="AN211">
        <v>1.48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73</v>
      </c>
      <c r="AU211">
        <v>41</v>
      </c>
      <c r="AV211">
        <v>1.0469999999999999</v>
      </c>
      <c r="AW211">
        <v>1.002</v>
      </c>
      <c r="AZ211">
        <v>1</v>
      </c>
      <c r="BA211">
        <v>21.43</v>
      </c>
      <c r="BB211">
        <v>7.96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1</v>
      </c>
      <c r="BJ211" t="s">
        <v>246</v>
      </c>
      <c r="BM211">
        <v>658</v>
      </c>
      <c r="BN211">
        <v>0</v>
      </c>
      <c r="BO211" t="s">
        <v>244</v>
      </c>
      <c r="BP211">
        <v>1</v>
      </c>
      <c r="BQ211">
        <v>60</v>
      </c>
      <c r="BR211">
        <v>0</v>
      </c>
      <c r="BS211">
        <v>21.43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73</v>
      </c>
      <c r="CA211">
        <v>41</v>
      </c>
      <c r="CE211">
        <v>30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si="193"/>
        <v>810.73</v>
      </c>
      <c r="CQ211">
        <f t="shared" si="194"/>
        <v>0</v>
      </c>
      <c r="CR211">
        <f>(ROUND((ROUND((((ET211*1.1))*AV211*1),2)*BB211),2)+ROUND((ROUND(((AE211-((EU211*1.1)))*AV211*1),2)*BS211),2))</f>
        <v>81.19</v>
      </c>
      <c r="CS211">
        <f t="shared" si="195"/>
        <v>36.43</v>
      </c>
      <c r="CT211">
        <f t="shared" si="196"/>
        <v>0</v>
      </c>
      <c r="CU211">
        <f t="shared" si="197"/>
        <v>0</v>
      </c>
      <c r="CV211">
        <f t="shared" si="198"/>
        <v>0</v>
      </c>
      <c r="CW211">
        <f t="shared" si="199"/>
        <v>0</v>
      </c>
      <c r="CX211">
        <f t="shared" si="200"/>
        <v>0</v>
      </c>
      <c r="CY211">
        <f t="shared" si="201"/>
        <v>0</v>
      </c>
      <c r="CZ211">
        <f t="shared" si="202"/>
        <v>0</v>
      </c>
      <c r="DC211" t="s">
        <v>3</v>
      </c>
      <c r="DD211" t="s">
        <v>3</v>
      </c>
      <c r="DE211" t="s">
        <v>230</v>
      </c>
      <c r="DF211" t="s">
        <v>230</v>
      </c>
      <c r="DG211" t="s">
        <v>230</v>
      </c>
      <c r="DH211" t="s">
        <v>3</v>
      </c>
      <c r="DI211" t="s">
        <v>230</v>
      </c>
      <c r="DJ211" t="s">
        <v>230</v>
      </c>
      <c r="DK211" t="s">
        <v>3</v>
      </c>
      <c r="DL211" t="s">
        <v>3</v>
      </c>
      <c r="DM211" t="s">
        <v>3</v>
      </c>
      <c r="DN211">
        <v>91</v>
      </c>
      <c r="DO211">
        <v>70</v>
      </c>
      <c r="DP211">
        <v>1.0469999999999999</v>
      </c>
      <c r="DQ211">
        <v>1.002</v>
      </c>
      <c r="DU211">
        <v>1013</v>
      </c>
      <c r="DV211" t="s">
        <v>60</v>
      </c>
      <c r="DW211" t="s">
        <v>60</v>
      </c>
      <c r="DX211">
        <v>1</v>
      </c>
      <c r="EE211">
        <v>298188734</v>
      </c>
      <c r="EF211">
        <v>60</v>
      </c>
      <c r="EG211" t="s">
        <v>231</v>
      </c>
      <c r="EH211">
        <v>0</v>
      </c>
      <c r="EI211" t="s">
        <v>3</v>
      </c>
      <c r="EJ211">
        <v>1</v>
      </c>
      <c r="EK211">
        <v>658</v>
      </c>
      <c r="EL211" t="s">
        <v>247</v>
      </c>
      <c r="EM211" t="s">
        <v>248</v>
      </c>
      <c r="EO211" t="s">
        <v>3</v>
      </c>
      <c r="EQ211">
        <v>768</v>
      </c>
      <c r="ER211">
        <v>8.86</v>
      </c>
      <c r="ES211">
        <v>0</v>
      </c>
      <c r="ET211">
        <v>8.86</v>
      </c>
      <c r="EU211">
        <v>1.48</v>
      </c>
      <c r="EV211">
        <v>0</v>
      </c>
      <c r="EW211">
        <v>0</v>
      </c>
      <c r="EX211">
        <v>0</v>
      </c>
      <c r="EY211">
        <v>0</v>
      </c>
      <c r="FQ211">
        <v>0</v>
      </c>
      <c r="FR211">
        <f t="shared" si="203"/>
        <v>0</v>
      </c>
      <c r="FS211">
        <v>0</v>
      </c>
      <c r="FX211">
        <v>91</v>
      </c>
      <c r="FY211">
        <v>70</v>
      </c>
      <c r="GA211" t="s">
        <v>3</v>
      </c>
      <c r="GD211">
        <v>0</v>
      </c>
      <c r="GF211">
        <v>-1983005167</v>
      </c>
      <c r="GG211">
        <v>2</v>
      </c>
      <c r="GH211">
        <v>1</v>
      </c>
      <c r="GI211">
        <v>2</v>
      </c>
      <c r="GJ211">
        <v>0</v>
      </c>
      <c r="GK211">
        <f>ROUND(R211*(R12)/100,2)</f>
        <v>572.29999999999995</v>
      </c>
      <c r="GL211">
        <f t="shared" si="204"/>
        <v>0</v>
      </c>
      <c r="GM211">
        <f t="shared" si="210"/>
        <v>1383.03</v>
      </c>
      <c r="GN211">
        <f t="shared" si="211"/>
        <v>1383.03</v>
      </c>
      <c r="GO211">
        <f t="shared" si="212"/>
        <v>0</v>
      </c>
      <c r="GP211">
        <f t="shared" si="213"/>
        <v>0</v>
      </c>
      <c r="GR211">
        <v>0</v>
      </c>
      <c r="GS211">
        <v>0</v>
      </c>
      <c r="GT211">
        <v>0</v>
      </c>
      <c r="GU211" t="s">
        <v>3</v>
      </c>
      <c r="GV211">
        <f t="shared" si="205"/>
        <v>0</v>
      </c>
      <c r="GW211">
        <v>1</v>
      </c>
      <c r="GX211">
        <f t="shared" si="206"/>
        <v>0</v>
      </c>
      <c r="HA211">
        <v>0</v>
      </c>
      <c r="HB211">
        <v>0</v>
      </c>
      <c r="HC211">
        <f t="shared" si="207"/>
        <v>0</v>
      </c>
      <c r="IK211">
        <v>0</v>
      </c>
    </row>
    <row r="212" spans="1:245" x14ac:dyDescent="0.2">
      <c r="A212">
        <v>17</v>
      </c>
      <c r="B212">
        <v>1</v>
      </c>
      <c r="C212">
        <f>ROW(SmtRes!A85)</f>
        <v>85</v>
      </c>
      <c r="D212">
        <f>ROW(EtalonRes!A84)</f>
        <v>84</v>
      </c>
      <c r="E212" t="s">
        <v>249</v>
      </c>
      <c r="F212" t="s">
        <v>63</v>
      </c>
      <c r="G212" t="s">
        <v>64</v>
      </c>
      <c r="H212" t="s">
        <v>60</v>
      </c>
      <c r="I212">
        <f>ROUND(I211,3)</f>
        <v>9.9819999999999993</v>
      </c>
      <c r="J212">
        <v>0</v>
      </c>
      <c r="O212">
        <f t="shared" si="182"/>
        <v>2649.53</v>
      </c>
      <c r="P212">
        <f t="shared" si="183"/>
        <v>0</v>
      </c>
      <c r="Q212">
        <f>(ROUND((ROUND(((ET212+(SUM(SmtRes!BD85:'SmtRes'!BD85)+SUM(EtalonRes!AM84:'EtalonRes'!AM84)))*AV212*I212),2)*BB212),2)+ROUND((ROUND(((AE212-(EU212))*AV212*I212),2)*BS212),2))</f>
        <v>2649.53</v>
      </c>
      <c r="R212">
        <f t="shared" si="184"/>
        <v>0</v>
      </c>
      <c r="S212">
        <f t="shared" si="208"/>
        <v>0</v>
      </c>
      <c r="T212">
        <f t="shared" si="185"/>
        <v>0</v>
      </c>
      <c r="U212">
        <f t="shared" si="186"/>
        <v>0</v>
      </c>
      <c r="V212">
        <f t="shared" si="187"/>
        <v>0</v>
      </c>
      <c r="W212">
        <f t="shared" si="188"/>
        <v>0</v>
      </c>
      <c r="X212">
        <f t="shared" si="189"/>
        <v>0</v>
      </c>
      <c r="Y212">
        <f t="shared" si="190"/>
        <v>0</v>
      </c>
      <c r="AA212">
        <v>309315610</v>
      </c>
      <c r="AB212">
        <f t="shared" si="209"/>
        <v>30.65</v>
      </c>
      <c r="AC212">
        <f>ROUND((ES212),6)</f>
        <v>0</v>
      </c>
      <c r="AD212">
        <f>ROUND((((ET212+(SUM(SmtRes!BD85:'SmtRes'!BD85)+SUM(EtalonRes!AM84:'EtalonRes'!AM84)))-(EU212))+AE212),6)</f>
        <v>30.65</v>
      </c>
      <c r="AE212">
        <f>ROUND((EU212),6)</f>
        <v>0</v>
      </c>
      <c r="AF212">
        <f>ROUND((EV212),6)</f>
        <v>0</v>
      </c>
      <c r="AG212">
        <f t="shared" si="191"/>
        <v>0</v>
      </c>
      <c r="AH212">
        <f>(EW212)</f>
        <v>0</v>
      </c>
      <c r="AI212">
        <f>(EX212)</f>
        <v>0</v>
      </c>
      <c r="AJ212">
        <f t="shared" si="192"/>
        <v>0</v>
      </c>
      <c r="AK212">
        <v>27.91</v>
      </c>
      <c r="AL212">
        <v>0</v>
      </c>
      <c r="AM212">
        <v>27.91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1</v>
      </c>
      <c r="AW212">
        <v>1</v>
      </c>
      <c r="AZ212">
        <v>1</v>
      </c>
      <c r="BA212">
        <v>21.43</v>
      </c>
      <c r="BB212">
        <v>8.66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0</v>
      </c>
      <c r="BI212">
        <v>4</v>
      </c>
      <c r="BJ212" t="s">
        <v>65</v>
      </c>
      <c r="BM212">
        <v>1113</v>
      </c>
      <c r="BN212">
        <v>0</v>
      </c>
      <c r="BO212" t="s">
        <v>63</v>
      </c>
      <c r="BP212">
        <v>1</v>
      </c>
      <c r="BQ212">
        <v>150</v>
      </c>
      <c r="BR212">
        <v>0</v>
      </c>
      <c r="BS212">
        <v>21.43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0</v>
      </c>
      <c r="CA212">
        <v>0</v>
      </c>
      <c r="CE212">
        <v>30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193"/>
        <v>2649.53</v>
      </c>
      <c r="CQ212">
        <f t="shared" si="194"/>
        <v>0</v>
      </c>
      <c r="CR212">
        <f>(ROUND((ROUND(((ET212+(SUM(SmtRes!BD85:'SmtRes'!BD85)+SUM(EtalonRes!AM84:'EtalonRes'!AM84)))*AV212*1),2)*BB212),2)+ROUND((ROUND(((AE212-(EU212))*AV212*1),2)*BS212),2))</f>
        <v>265.43</v>
      </c>
      <c r="CS212">
        <f t="shared" si="195"/>
        <v>0</v>
      </c>
      <c r="CT212">
        <f t="shared" si="196"/>
        <v>0</v>
      </c>
      <c r="CU212">
        <f t="shared" si="197"/>
        <v>0</v>
      </c>
      <c r="CV212">
        <f t="shared" si="198"/>
        <v>0</v>
      </c>
      <c r="CW212">
        <f t="shared" si="199"/>
        <v>0</v>
      </c>
      <c r="CX212">
        <f t="shared" si="200"/>
        <v>0</v>
      </c>
      <c r="CY212">
        <f t="shared" si="201"/>
        <v>0</v>
      </c>
      <c r="CZ212">
        <f t="shared" si="202"/>
        <v>0</v>
      </c>
      <c r="DC212" t="s">
        <v>3</v>
      </c>
      <c r="DD212" t="s">
        <v>3</v>
      </c>
      <c r="DE212" t="s">
        <v>3</v>
      </c>
      <c r="DF212" t="s">
        <v>3</v>
      </c>
      <c r="DG212" t="s">
        <v>3</v>
      </c>
      <c r="DH212" t="s">
        <v>3</v>
      </c>
      <c r="DI212" t="s">
        <v>3</v>
      </c>
      <c r="DJ212" t="s">
        <v>3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1013</v>
      </c>
      <c r="DV212" t="s">
        <v>60</v>
      </c>
      <c r="DW212" t="s">
        <v>60</v>
      </c>
      <c r="DX212">
        <v>1</v>
      </c>
      <c r="EE212">
        <v>298189189</v>
      </c>
      <c r="EF212">
        <v>150</v>
      </c>
      <c r="EG212" t="s">
        <v>54</v>
      </c>
      <c r="EH212">
        <v>0</v>
      </c>
      <c r="EI212" t="s">
        <v>3</v>
      </c>
      <c r="EJ212">
        <v>4</v>
      </c>
      <c r="EK212">
        <v>1113</v>
      </c>
      <c r="EL212" t="s">
        <v>66</v>
      </c>
      <c r="EM212" t="s">
        <v>67</v>
      </c>
      <c r="EO212" t="s">
        <v>3</v>
      </c>
      <c r="EQ212">
        <v>0</v>
      </c>
      <c r="ER212">
        <v>27.91</v>
      </c>
      <c r="ES212">
        <v>0</v>
      </c>
      <c r="ET212">
        <v>27.91</v>
      </c>
      <c r="EU212">
        <v>0</v>
      </c>
      <c r="EV212">
        <v>0</v>
      </c>
      <c r="EW212">
        <v>0</v>
      </c>
      <c r="EX212">
        <v>0</v>
      </c>
      <c r="EY212">
        <v>1</v>
      </c>
      <c r="FQ212">
        <v>0</v>
      </c>
      <c r="FR212">
        <f t="shared" si="203"/>
        <v>0</v>
      </c>
      <c r="FS212">
        <v>0</v>
      </c>
      <c r="FX212">
        <v>0</v>
      </c>
      <c r="FY212">
        <v>0</v>
      </c>
      <c r="GA212" t="s">
        <v>3</v>
      </c>
      <c r="GD212">
        <v>1</v>
      </c>
      <c r="GF212">
        <v>-1712937699</v>
      </c>
      <c r="GG212">
        <v>2</v>
      </c>
      <c r="GH212">
        <v>1</v>
      </c>
      <c r="GI212">
        <v>2</v>
      </c>
      <c r="GJ212">
        <v>0</v>
      </c>
      <c r="GK212">
        <v>0</v>
      </c>
      <c r="GL212">
        <f t="shared" si="204"/>
        <v>0</v>
      </c>
      <c r="GM212">
        <f>ROUND(O212+X212+Y212,2)+GX212</f>
        <v>2649.53</v>
      </c>
      <c r="GN212">
        <f>IF(OR(BI212=0,BI212=1),ROUND(O212+X212+Y212,2),0)</f>
        <v>0</v>
      </c>
      <c r="GO212">
        <f>IF(BI212=2,ROUND(O212+X212+Y212,2),0)</f>
        <v>0</v>
      </c>
      <c r="GP212">
        <f>IF(BI212=4,ROUND(O212+X212+Y212,2)+GX212,0)</f>
        <v>2649.53</v>
      </c>
      <c r="GR212">
        <v>0</v>
      </c>
      <c r="GS212">
        <v>3</v>
      </c>
      <c r="GT212">
        <v>0</v>
      </c>
      <c r="GU212" t="s">
        <v>3</v>
      </c>
      <c r="GV212">
        <f t="shared" si="205"/>
        <v>0</v>
      </c>
      <c r="GW212">
        <v>1</v>
      </c>
      <c r="GX212">
        <f t="shared" si="206"/>
        <v>0</v>
      </c>
      <c r="HA212">
        <v>0</v>
      </c>
      <c r="HB212">
        <v>0</v>
      </c>
      <c r="HC212">
        <f t="shared" si="207"/>
        <v>0</v>
      </c>
      <c r="IK212">
        <v>0</v>
      </c>
    </row>
    <row r="213" spans="1:245" x14ac:dyDescent="0.2">
      <c r="A213">
        <v>17</v>
      </c>
      <c r="B213">
        <v>1</v>
      </c>
      <c r="C213">
        <f>ROW(SmtRes!A86)</f>
        <v>86</v>
      </c>
      <c r="D213">
        <f>ROW(EtalonRes!A85)</f>
        <v>85</v>
      </c>
      <c r="E213" t="s">
        <v>250</v>
      </c>
      <c r="F213" t="s">
        <v>69</v>
      </c>
      <c r="G213" t="s">
        <v>70</v>
      </c>
      <c r="H213" t="s">
        <v>60</v>
      </c>
      <c r="I213">
        <f>ROUND(I208,4)</f>
        <v>2.35</v>
      </c>
      <c r="J213">
        <v>0</v>
      </c>
      <c r="O213">
        <f t="shared" si="182"/>
        <v>507.93</v>
      </c>
      <c r="P213">
        <f t="shared" si="183"/>
        <v>0</v>
      </c>
      <c r="Q213">
        <f>(ROUND((ROUND(((ET213)*AV213*I213),2)*BB213),2)+ROUND((ROUND(((AE213-(EU213))*AV213*I213),2)*BS213),2))</f>
        <v>507.93</v>
      </c>
      <c r="R213">
        <f t="shared" si="184"/>
        <v>0</v>
      </c>
      <c r="S213">
        <f t="shared" si="208"/>
        <v>0</v>
      </c>
      <c r="T213">
        <f t="shared" si="185"/>
        <v>0</v>
      </c>
      <c r="U213">
        <f t="shared" si="186"/>
        <v>0</v>
      </c>
      <c r="V213">
        <f t="shared" si="187"/>
        <v>0</v>
      </c>
      <c r="W213">
        <f t="shared" si="188"/>
        <v>0</v>
      </c>
      <c r="X213">
        <f t="shared" si="189"/>
        <v>0</v>
      </c>
      <c r="Y213">
        <f t="shared" si="190"/>
        <v>0</v>
      </c>
      <c r="AA213">
        <v>309315610</v>
      </c>
      <c r="AB213">
        <f t="shared" si="209"/>
        <v>101</v>
      </c>
      <c r="AC213">
        <f>ROUND((ES213),6)</f>
        <v>0</v>
      </c>
      <c r="AD213">
        <f>ROUND((((ET213)-(EU213))+AE213),6)</f>
        <v>101</v>
      </c>
      <c r="AE213">
        <f>ROUND((EU213),6)</f>
        <v>0</v>
      </c>
      <c r="AF213">
        <f>ROUND((EV213),6)</f>
        <v>0</v>
      </c>
      <c r="AG213">
        <f t="shared" si="191"/>
        <v>0</v>
      </c>
      <c r="AH213">
        <f>(EW213)</f>
        <v>0</v>
      </c>
      <c r="AI213">
        <f>(EX213)</f>
        <v>0</v>
      </c>
      <c r="AJ213">
        <f t="shared" si="192"/>
        <v>0</v>
      </c>
      <c r="AK213">
        <v>101</v>
      </c>
      <c r="AL213">
        <v>0</v>
      </c>
      <c r="AM213">
        <v>101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1</v>
      </c>
      <c r="AW213">
        <v>1</v>
      </c>
      <c r="AZ213">
        <v>1</v>
      </c>
      <c r="BA213">
        <v>21.43</v>
      </c>
      <c r="BB213">
        <v>2.14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71</v>
      </c>
      <c r="BM213">
        <v>1110</v>
      </c>
      <c r="BN213">
        <v>0</v>
      </c>
      <c r="BO213" t="s">
        <v>69</v>
      </c>
      <c r="BP213">
        <v>1</v>
      </c>
      <c r="BQ213">
        <v>150</v>
      </c>
      <c r="BR213">
        <v>0</v>
      </c>
      <c r="BS213">
        <v>21.43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0</v>
      </c>
      <c r="CA213">
        <v>0</v>
      </c>
      <c r="CE213">
        <v>30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193"/>
        <v>507.93</v>
      </c>
      <c r="CQ213">
        <f t="shared" si="194"/>
        <v>0</v>
      </c>
      <c r="CR213">
        <f>(ROUND((ROUND(((ET213)*AV213*1),2)*BB213),2)+ROUND((ROUND(((AE213-(EU213))*AV213*1),2)*BS213),2))</f>
        <v>216.14</v>
      </c>
      <c r="CS213">
        <f t="shared" si="195"/>
        <v>0</v>
      </c>
      <c r="CT213">
        <f t="shared" si="196"/>
        <v>0</v>
      </c>
      <c r="CU213">
        <f t="shared" si="197"/>
        <v>0</v>
      </c>
      <c r="CV213">
        <f t="shared" si="198"/>
        <v>0</v>
      </c>
      <c r="CW213">
        <f t="shared" si="199"/>
        <v>0</v>
      </c>
      <c r="CX213">
        <f t="shared" si="200"/>
        <v>0</v>
      </c>
      <c r="CY213">
        <f t="shared" si="201"/>
        <v>0</v>
      </c>
      <c r="CZ213">
        <f t="shared" si="202"/>
        <v>0</v>
      </c>
      <c r="DC213" t="s">
        <v>3</v>
      </c>
      <c r="DD213" t="s">
        <v>3</v>
      </c>
      <c r="DE213" t="s">
        <v>3</v>
      </c>
      <c r="DF213" t="s">
        <v>3</v>
      </c>
      <c r="DG213" t="s">
        <v>3</v>
      </c>
      <c r="DH213" t="s">
        <v>3</v>
      </c>
      <c r="DI213" t="s">
        <v>3</v>
      </c>
      <c r="DJ213" t="s">
        <v>3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1013</v>
      </c>
      <c r="DV213" t="s">
        <v>60</v>
      </c>
      <c r="DW213" t="s">
        <v>60</v>
      </c>
      <c r="DX213">
        <v>1</v>
      </c>
      <c r="EE213">
        <v>298189186</v>
      </c>
      <c r="EF213">
        <v>150</v>
      </c>
      <c r="EG213" t="s">
        <v>54</v>
      </c>
      <c r="EH213">
        <v>0</v>
      </c>
      <c r="EI213" t="s">
        <v>3</v>
      </c>
      <c r="EJ213">
        <v>4</v>
      </c>
      <c r="EK213">
        <v>1110</v>
      </c>
      <c r="EL213" t="s">
        <v>72</v>
      </c>
      <c r="EM213" t="s">
        <v>73</v>
      </c>
      <c r="EO213" t="s">
        <v>3</v>
      </c>
      <c r="EQ213">
        <v>0</v>
      </c>
      <c r="ER213">
        <v>101</v>
      </c>
      <c r="ES213">
        <v>0</v>
      </c>
      <c r="ET213">
        <v>101</v>
      </c>
      <c r="EU213">
        <v>0</v>
      </c>
      <c r="EV213">
        <v>0</v>
      </c>
      <c r="EW213">
        <v>0</v>
      </c>
      <c r="EX213">
        <v>0</v>
      </c>
      <c r="EY213">
        <v>0</v>
      </c>
      <c r="FQ213">
        <v>0</v>
      </c>
      <c r="FR213">
        <f t="shared" si="203"/>
        <v>0</v>
      </c>
      <c r="FS213">
        <v>0</v>
      </c>
      <c r="FX213">
        <v>0</v>
      </c>
      <c r="FY213">
        <v>0</v>
      </c>
      <c r="GA213" t="s">
        <v>3</v>
      </c>
      <c r="GD213">
        <v>1</v>
      </c>
      <c r="GF213">
        <v>1935715050</v>
      </c>
      <c r="GG213">
        <v>2</v>
      </c>
      <c r="GH213">
        <v>1</v>
      </c>
      <c r="GI213">
        <v>2</v>
      </c>
      <c r="GJ213">
        <v>0</v>
      </c>
      <c r="GK213">
        <v>0</v>
      </c>
      <c r="GL213">
        <f t="shared" si="204"/>
        <v>0</v>
      </c>
      <c r="GM213">
        <f>ROUND(O213+X213+Y213,2)+GX213</f>
        <v>507.93</v>
      </c>
      <c r="GN213">
        <f>IF(OR(BI213=0,BI213=1),ROUND(O213+X213+Y213,2),0)</f>
        <v>0</v>
      </c>
      <c r="GO213">
        <f>IF(BI213=2,ROUND(O213+X213+Y213,2),0)</f>
        <v>0</v>
      </c>
      <c r="GP213">
        <f>IF(BI213=4,ROUND(O213+X213+Y213,2)+GX213,0)</f>
        <v>507.93</v>
      </c>
      <c r="GR213">
        <v>0</v>
      </c>
      <c r="GS213">
        <v>0</v>
      </c>
      <c r="GT213">
        <v>0</v>
      </c>
      <c r="GU213" t="s">
        <v>3</v>
      </c>
      <c r="GV213">
        <f t="shared" si="205"/>
        <v>0</v>
      </c>
      <c r="GW213">
        <v>1</v>
      </c>
      <c r="GX213">
        <f t="shared" si="206"/>
        <v>0</v>
      </c>
      <c r="HA213">
        <v>0</v>
      </c>
      <c r="HB213">
        <v>0</v>
      </c>
      <c r="HC213">
        <f t="shared" si="207"/>
        <v>0</v>
      </c>
      <c r="IK213">
        <v>0</v>
      </c>
    </row>
    <row r="215" spans="1:245" x14ac:dyDescent="0.2">
      <c r="A215" s="2">
        <v>51</v>
      </c>
      <c r="B215" s="2">
        <f>B199</f>
        <v>1</v>
      </c>
      <c r="C215" s="2">
        <f>A199</f>
        <v>4</v>
      </c>
      <c r="D215" s="2">
        <f>ROW(A199)</f>
        <v>199</v>
      </c>
      <c r="E215" s="2"/>
      <c r="F215" s="2" t="str">
        <f>IF(F199&lt;&gt;"",F199,"")</f>
        <v>Новый раздел</v>
      </c>
      <c r="G215" s="2" t="str">
        <f>IF(G199&lt;&gt;"",G199,"")</f>
        <v>БАЙПАС 2Ду300мм -50м</v>
      </c>
      <c r="H215" s="2">
        <v>0</v>
      </c>
      <c r="I215" s="2"/>
      <c r="J215" s="2"/>
      <c r="K215" s="2"/>
      <c r="L215" s="2"/>
      <c r="M215" s="2"/>
      <c r="N215" s="2"/>
      <c r="O215" s="2">
        <f t="shared" ref="O215:T215" si="214">ROUND(AB215,2)</f>
        <v>573982.73</v>
      </c>
      <c r="P215" s="2">
        <f t="shared" si="214"/>
        <v>456016.5</v>
      </c>
      <c r="Q215" s="2">
        <f t="shared" si="214"/>
        <v>30596.77</v>
      </c>
      <c r="R215" s="2">
        <f t="shared" si="214"/>
        <v>10744.57</v>
      </c>
      <c r="S215" s="2">
        <f t="shared" si="214"/>
        <v>87369.46</v>
      </c>
      <c r="T215" s="2">
        <f t="shared" si="214"/>
        <v>0</v>
      </c>
      <c r="U215" s="2">
        <f>AH215</f>
        <v>339.01837951899995</v>
      </c>
      <c r="V215" s="2">
        <f>AI215</f>
        <v>0</v>
      </c>
      <c r="W215" s="2">
        <f>ROUND(AJ215,2)</f>
        <v>0</v>
      </c>
      <c r="X215" s="2">
        <f>ROUND(AK215,2)</f>
        <v>74382.5</v>
      </c>
      <c r="Y215" s="2">
        <f>ROUND(AL215,2)</f>
        <v>37650.910000000003</v>
      </c>
      <c r="Z215" s="2"/>
      <c r="AA215" s="2"/>
      <c r="AB215" s="2">
        <f>ROUND(SUMIF(AA203:AA213,"=309315610",O203:O213),2)</f>
        <v>573982.73</v>
      </c>
      <c r="AC215" s="2">
        <f>ROUND(SUMIF(AA203:AA213,"=309315610",P203:P213),2)</f>
        <v>456016.5</v>
      </c>
      <c r="AD215" s="2">
        <f>ROUND(SUMIF(AA203:AA213,"=309315610",Q203:Q213),2)</f>
        <v>30596.77</v>
      </c>
      <c r="AE215" s="2">
        <f>ROUND(SUMIF(AA203:AA213,"=309315610",R203:R213),2)</f>
        <v>10744.57</v>
      </c>
      <c r="AF215" s="2">
        <f>ROUND(SUMIF(AA203:AA213,"=309315610",S203:S213),2)</f>
        <v>87369.46</v>
      </c>
      <c r="AG215" s="2">
        <f>ROUND(SUMIF(AA203:AA213,"=309315610",T203:T213),2)</f>
        <v>0</v>
      </c>
      <c r="AH215" s="2">
        <f>SUMIF(AA203:AA213,"=309315610",U203:U213)</f>
        <v>339.01837951899995</v>
      </c>
      <c r="AI215" s="2">
        <f>SUMIF(AA203:AA213,"=309315610",V203:V213)</f>
        <v>0</v>
      </c>
      <c r="AJ215" s="2">
        <f>ROUND(SUMIF(AA203:AA213,"=309315610",W203:W213),2)</f>
        <v>0</v>
      </c>
      <c r="AK215" s="2">
        <f>ROUND(SUMIF(AA203:AA213,"=309315610",X203:X213),2)</f>
        <v>74382.5</v>
      </c>
      <c r="AL215" s="2">
        <f>ROUND(SUMIF(AA203:AA213,"=309315610",Y203:Y213),2)</f>
        <v>37650.910000000003</v>
      </c>
      <c r="AM215" s="2"/>
      <c r="AN215" s="2"/>
      <c r="AO215" s="2">
        <f t="shared" ref="AO215:BC215" si="215">ROUND(BX215,2)</f>
        <v>0</v>
      </c>
      <c r="AP215" s="2">
        <f t="shared" si="215"/>
        <v>0</v>
      </c>
      <c r="AQ215" s="2">
        <f t="shared" si="215"/>
        <v>0</v>
      </c>
      <c r="AR215" s="2">
        <f t="shared" si="215"/>
        <v>1364291.52</v>
      </c>
      <c r="AS215" s="2">
        <f t="shared" si="215"/>
        <v>1361134.06</v>
      </c>
      <c r="AT215" s="2">
        <f t="shared" si="215"/>
        <v>0</v>
      </c>
      <c r="AU215" s="2">
        <f t="shared" si="215"/>
        <v>3157.46</v>
      </c>
      <c r="AV215" s="2">
        <f t="shared" si="215"/>
        <v>456016.5</v>
      </c>
      <c r="AW215" s="2">
        <f t="shared" si="215"/>
        <v>456016.5</v>
      </c>
      <c r="AX215" s="2">
        <f t="shared" si="215"/>
        <v>0</v>
      </c>
      <c r="AY215" s="2">
        <f t="shared" si="215"/>
        <v>456016.5</v>
      </c>
      <c r="AZ215" s="2">
        <f t="shared" si="215"/>
        <v>0</v>
      </c>
      <c r="BA215" s="2">
        <f t="shared" si="215"/>
        <v>0</v>
      </c>
      <c r="BB215" s="2">
        <f t="shared" si="215"/>
        <v>62969.4</v>
      </c>
      <c r="BC215" s="2">
        <f t="shared" si="215"/>
        <v>598437</v>
      </c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>
        <f>ROUND(SUMIF(AA203:AA213,"=309315610",FQ203:FQ213),2)</f>
        <v>0</v>
      </c>
      <c r="BY215" s="2">
        <f>ROUND(SUMIF(AA203:AA213,"=309315610",FR203:FR213),2)</f>
        <v>0</v>
      </c>
      <c r="BZ215" s="2">
        <f>ROUND(SUMIF(AA203:AA213,"=309315610",GL203:GL213),2)</f>
        <v>0</v>
      </c>
      <c r="CA215" s="2">
        <f>ROUND(SUMIF(AA203:AA213,"=309315610",GM203:GM213),2)</f>
        <v>1364291.52</v>
      </c>
      <c r="CB215" s="2">
        <f>ROUND(SUMIF(AA203:AA213,"=309315610",GN203:GN213),2)</f>
        <v>1361134.06</v>
      </c>
      <c r="CC215" s="2">
        <f>ROUND(SUMIF(AA203:AA213,"=309315610",GO203:GO213),2)</f>
        <v>0</v>
      </c>
      <c r="CD215" s="2">
        <f>ROUND(SUMIF(AA203:AA213,"=309315610",GP203:GP213),2)</f>
        <v>3157.46</v>
      </c>
      <c r="CE215" s="2">
        <f>AC215-BX215</f>
        <v>456016.5</v>
      </c>
      <c r="CF215" s="2">
        <f>AC215-BY215</f>
        <v>456016.5</v>
      </c>
      <c r="CG215" s="2">
        <f>BX215-BZ215</f>
        <v>0</v>
      </c>
      <c r="CH215" s="2">
        <f>AC215-BX215-BY215+BZ215</f>
        <v>456016.5</v>
      </c>
      <c r="CI215" s="2">
        <f>BY215-BZ215</f>
        <v>0</v>
      </c>
      <c r="CJ215" s="2">
        <f>ROUND(SUMIF(AA203:AA213,"=309315610",GX203:GX213),2)</f>
        <v>0</v>
      </c>
      <c r="CK215" s="2">
        <f>ROUND(SUMIF(AA203:AA213,"=309315610",GY203:GY213),2)</f>
        <v>62969.4</v>
      </c>
      <c r="CL215" s="2">
        <f>ROUND(SUMIF(AA203:AA213,"=309315610",GZ203:GZ213),2)</f>
        <v>598437</v>
      </c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  <c r="GO215" s="3"/>
      <c r="GP215" s="3"/>
      <c r="GQ215" s="3"/>
      <c r="GR215" s="3"/>
      <c r="GS215" s="3"/>
      <c r="GT215" s="3"/>
      <c r="GU215" s="3"/>
      <c r="GV215" s="3"/>
      <c r="GW215" s="3"/>
      <c r="GX215" s="3">
        <v>0</v>
      </c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201</v>
      </c>
      <c r="F217" s="4">
        <f>ROUND(Source!O215,O217)</f>
        <v>573982.73</v>
      </c>
      <c r="G217" s="4" t="s">
        <v>74</v>
      </c>
      <c r="H217" s="4" t="s">
        <v>75</v>
      </c>
      <c r="I217" s="4"/>
      <c r="J217" s="4"/>
      <c r="K217" s="4">
        <v>201</v>
      </c>
      <c r="L217" s="4">
        <v>1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202</v>
      </c>
      <c r="F218" s="4">
        <f>ROUND(Source!P215,O218)</f>
        <v>456016.5</v>
      </c>
      <c r="G218" s="4" t="s">
        <v>76</v>
      </c>
      <c r="H218" s="4" t="s">
        <v>77</v>
      </c>
      <c r="I218" s="4"/>
      <c r="J218" s="4"/>
      <c r="K218" s="4">
        <v>202</v>
      </c>
      <c r="L218" s="4">
        <v>2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45" x14ac:dyDescent="0.2">
      <c r="A219" s="4">
        <v>50</v>
      </c>
      <c r="B219" s="4">
        <v>0</v>
      </c>
      <c r="C219" s="4">
        <v>0</v>
      </c>
      <c r="D219" s="4">
        <v>1</v>
      </c>
      <c r="E219" s="4">
        <v>222</v>
      </c>
      <c r="F219" s="4">
        <f>ROUND(Source!AO215,O219)</f>
        <v>0</v>
      </c>
      <c r="G219" s="4" t="s">
        <v>78</v>
      </c>
      <c r="H219" s="4" t="s">
        <v>79</v>
      </c>
      <c r="I219" s="4"/>
      <c r="J219" s="4"/>
      <c r="K219" s="4">
        <v>222</v>
      </c>
      <c r="L219" s="4">
        <v>3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45" x14ac:dyDescent="0.2">
      <c r="A220" s="4">
        <v>50</v>
      </c>
      <c r="B220" s="4">
        <v>0</v>
      </c>
      <c r="C220" s="4">
        <v>0</v>
      </c>
      <c r="D220" s="4">
        <v>1</v>
      </c>
      <c r="E220" s="4">
        <v>225</v>
      </c>
      <c r="F220" s="4">
        <f>ROUND(Source!AV215,O220)</f>
        <v>456016.5</v>
      </c>
      <c r="G220" s="4" t="s">
        <v>80</v>
      </c>
      <c r="H220" s="4" t="s">
        <v>81</v>
      </c>
      <c r="I220" s="4"/>
      <c r="J220" s="4"/>
      <c r="K220" s="4">
        <v>225</v>
      </c>
      <c r="L220" s="4">
        <v>4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45" x14ac:dyDescent="0.2">
      <c r="A221" s="4">
        <v>50</v>
      </c>
      <c r="B221" s="4">
        <v>0</v>
      </c>
      <c r="C221" s="4">
        <v>0</v>
      </c>
      <c r="D221" s="4">
        <v>1</v>
      </c>
      <c r="E221" s="4">
        <v>226</v>
      </c>
      <c r="F221" s="4">
        <f>ROUND(Source!AW215,O221)</f>
        <v>456016.5</v>
      </c>
      <c r="G221" s="4" t="s">
        <v>82</v>
      </c>
      <c r="H221" s="4" t="s">
        <v>83</v>
      </c>
      <c r="I221" s="4"/>
      <c r="J221" s="4"/>
      <c r="K221" s="4">
        <v>226</v>
      </c>
      <c r="L221" s="4">
        <v>5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45" x14ac:dyDescent="0.2">
      <c r="A222" s="4">
        <v>50</v>
      </c>
      <c r="B222" s="4">
        <v>0</v>
      </c>
      <c r="C222" s="4">
        <v>0</v>
      </c>
      <c r="D222" s="4">
        <v>1</v>
      </c>
      <c r="E222" s="4">
        <v>227</v>
      </c>
      <c r="F222" s="4">
        <f>ROUND(Source!AX215,O222)</f>
        <v>0</v>
      </c>
      <c r="G222" s="4" t="s">
        <v>84</v>
      </c>
      <c r="H222" s="4" t="s">
        <v>85</v>
      </c>
      <c r="I222" s="4"/>
      <c r="J222" s="4"/>
      <c r="K222" s="4">
        <v>227</v>
      </c>
      <c r="L222" s="4">
        <v>6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45" x14ac:dyDescent="0.2">
      <c r="A223" s="4">
        <v>50</v>
      </c>
      <c r="B223" s="4">
        <v>0</v>
      </c>
      <c r="C223" s="4">
        <v>0</v>
      </c>
      <c r="D223" s="4">
        <v>1</v>
      </c>
      <c r="E223" s="4">
        <v>228</v>
      </c>
      <c r="F223" s="4">
        <f>ROUND(Source!AY215,O223)</f>
        <v>456016.5</v>
      </c>
      <c r="G223" s="4" t="s">
        <v>86</v>
      </c>
      <c r="H223" s="4" t="s">
        <v>87</v>
      </c>
      <c r="I223" s="4"/>
      <c r="J223" s="4"/>
      <c r="K223" s="4">
        <v>228</v>
      </c>
      <c r="L223" s="4">
        <v>7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45" x14ac:dyDescent="0.2">
      <c r="A224" s="4">
        <v>50</v>
      </c>
      <c r="B224" s="4">
        <v>0</v>
      </c>
      <c r="C224" s="4">
        <v>0</v>
      </c>
      <c r="D224" s="4">
        <v>1</v>
      </c>
      <c r="E224" s="4">
        <v>216</v>
      </c>
      <c r="F224" s="4">
        <f>ROUND(Source!AP215,O224)</f>
        <v>0</v>
      </c>
      <c r="G224" s="4" t="s">
        <v>88</v>
      </c>
      <c r="H224" s="4" t="s">
        <v>89</v>
      </c>
      <c r="I224" s="4"/>
      <c r="J224" s="4"/>
      <c r="K224" s="4">
        <v>216</v>
      </c>
      <c r="L224" s="4">
        <v>8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223</v>
      </c>
      <c r="F225" s="4">
        <f>ROUND(Source!AQ215,O225)</f>
        <v>0</v>
      </c>
      <c r="G225" s="4" t="s">
        <v>90</v>
      </c>
      <c r="H225" s="4" t="s">
        <v>91</v>
      </c>
      <c r="I225" s="4"/>
      <c r="J225" s="4"/>
      <c r="K225" s="4">
        <v>223</v>
      </c>
      <c r="L225" s="4">
        <v>9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229</v>
      </c>
      <c r="F226" s="4">
        <f>ROUND(Source!AZ215,O226)</f>
        <v>0</v>
      </c>
      <c r="G226" s="4" t="s">
        <v>92</v>
      </c>
      <c r="H226" s="4" t="s">
        <v>93</v>
      </c>
      <c r="I226" s="4"/>
      <c r="J226" s="4"/>
      <c r="K226" s="4">
        <v>229</v>
      </c>
      <c r="L226" s="4">
        <v>10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203</v>
      </c>
      <c r="F227" s="4">
        <f>ROUND(Source!Q215,O227)</f>
        <v>30596.77</v>
      </c>
      <c r="G227" s="4" t="s">
        <v>94</v>
      </c>
      <c r="H227" s="4" t="s">
        <v>95</v>
      </c>
      <c r="I227" s="4"/>
      <c r="J227" s="4"/>
      <c r="K227" s="4">
        <v>203</v>
      </c>
      <c r="L227" s="4">
        <v>11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231</v>
      </c>
      <c r="F228" s="4">
        <f>ROUND(Source!BB215,O228)</f>
        <v>62969.4</v>
      </c>
      <c r="G228" s="4" t="s">
        <v>96</v>
      </c>
      <c r="H228" s="4" t="s">
        <v>97</v>
      </c>
      <c r="I228" s="4"/>
      <c r="J228" s="4"/>
      <c r="K228" s="4">
        <v>231</v>
      </c>
      <c r="L228" s="4">
        <v>12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204</v>
      </c>
      <c r="F229" s="4">
        <f>ROUND(Source!R215,O229)</f>
        <v>10744.57</v>
      </c>
      <c r="G229" s="4" t="s">
        <v>98</v>
      </c>
      <c r="H229" s="4" t="s">
        <v>99</v>
      </c>
      <c r="I229" s="4"/>
      <c r="J229" s="4"/>
      <c r="K229" s="4">
        <v>204</v>
      </c>
      <c r="L229" s="4">
        <v>13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0" spans="1:23" x14ac:dyDescent="0.2">
      <c r="A230" s="4">
        <v>50</v>
      </c>
      <c r="B230" s="4">
        <v>0</v>
      </c>
      <c r="C230" s="4">
        <v>0</v>
      </c>
      <c r="D230" s="4">
        <v>1</v>
      </c>
      <c r="E230" s="4">
        <v>205</v>
      </c>
      <c r="F230" s="4">
        <f>ROUND(Source!S215,O230)</f>
        <v>87369.46</v>
      </c>
      <c r="G230" s="4" t="s">
        <v>100</v>
      </c>
      <c r="H230" s="4" t="s">
        <v>101</v>
      </c>
      <c r="I230" s="4"/>
      <c r="J230" s="4"/>
      <c r="K230" s="4">
        <v>205</v>
      </c>
      <c r="L230" s="4">
        <v>14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3" x14ac:dyDescent="0.2">
      <c r="A231" s="4">
        <v>50</v>
      </c>
      <c r="B231" s="4">
        <v>0</v>
      </c>
      <c r="C231" s="4">
        <v>0</v>
      </c>
      <c r="D231" s="4">
        <v>1</v>
      </c>
      <c r="E231" s="4">
        <v>232</v>
      </c>
      <c r="F231" s="4">
        <f>ROUND(Source!BC215,O231)</f>
        <v>598437</v>
      </c>
      <c r="G231" s="4" t="s">
        <v>102</v>
      </c>
      <c r="H231" s="4" t="s">
        <v>103</v>
      </c>
      <c r="I231" s="4"/>
      <c r="J231" s="4"/>
      <c r="K231" s="4">
        <v>232</v>
      </c>
      <c r="L231" s="4">
        <v>15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3" x14ac:dyDescent="0.2">
      <c r="A232" s="4">
        <v>50</v>
      </c>
      <c r="B232" s="4">
        <v>0</v>
      </c>
      <c r="C232" s="4">
        <v>0</v>
      </c>
      <c r="D232" s="4">
        <v>1</v>
      </c>
      <c r="E232" s="4">
        <v>214</v>
      </c>
      <c r="F232" s="4">
        <f>ROUND(Source!AS215,O232)</f>
        <v>1361134.06</v>
      </c>
      <c r="G232" s="4" t="s">
        <v>104</v>
      </c>
      <c r="H232" s="4" t="s">
        <v>105</v>
      </c>
      <c r="I232" s="4"/>
      <c r="J232" s="4"/>
      <c r="K232" s="4">
        <v>214</v>
      </c>
      <c r="L232" s="4">
        <v>16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3" x14ac:dyDescent="0.2">
      <c r="A233" s="4">
        <v>50</v>
      </c>
      <c r="B233" s="4">
        <v>0</v>
      </c>
      <c r="C233" s="4">
        <v>0</v>
      </c>
      <c r="D233" s="4">
        <v>1</v>
      </c>
      <c r="E233" s="4">
        <v>215</v>
      </c>
      <c r="F233" s="4">
        <f>ROUND(Source!AT215,O233)</f>
        <v>0</v>
      </c>
      <c r="G233" s="4" t="s">
        <v>106</v>
      </c>
      <c r="H233" s="4" t="s">
        <v>107</v>
      </c>
      <c r="I233" s="4"/>
      <c r="J233" s="4"/>
      <c r="K233" s="4">
        <v>215</v>
      </c>
      <c r="L233" s="4">
        <v>17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3" x14ac:dyDescent="0.2">
      <c r="A234" s="4">
        <v>50</v>
      </c>
      <c r="B234" s="4">
        <v>0</v>
      </c>
      <c r="C234" s="4">
        <v>0</v>
      </c>
      <c r="D234" s="4">
        <v>1</v>
      </c>
      <c r="E234" s="4">
        <v>217</v>
      </c>
      <c r="F234" s="4">
        <f>ROUND(Source!AU215,O234)</f>
        <v>3157.46</v>
      </c>
      <c r="G234" s="4" t="s">
        <v>108</v>
      </c>
      <c r="H234" s="4" t="s">
        <v>109</v>
      </c>
      <c r="I234" s="4"/>
      <c r="J234" s="4"/>
      <c r="K234" s="4">
        <v>217</v>
      </c>
      <c r="L234" s="4">
        <v>18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3" x14ac:dyDescent="0.2">
      <c r="A235" s="4">
        <v>50</v>
      </c>
      <c r="B235" s="4">
        <v>0</v>
      </c>
      <c r="C235" s="4">
        <v>0</v>
      </c>
      <c r="D235" s="4">
        <v>1</v>
      </c>
      <c r="E235" s="4">
        <v>230</v>
      </c>
      <c r="F235" s="4">
        <f>ROUND(Source!BA215,O235)</f>
        <v>0</v>
      </c>
      <c r="G235" s="4" t="s">
        <v>110</v>
      </c>
      <c r="H235" s="4" t="s">
        <v>111</v>
      </c>
      <c r="I235" s="4"/>
      <c r="J235" s="4"/>
      <c r="K235" s="4">
        <v>230</v>
      </c>
      <c r="L235" s="4">
        <v>19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3" x14ac:dyDescent="0.2">
      <c r="A236" s="4">
        <v>50</v>
      </c>
      <c r="B236" s="4">
        <v>0</v>
      </c>
      <c r="C236" s="4">
        <v>0</v>
      </c>
      <c r="D236" s="4">
        <v>1</v>
      </c>
      <c r="E236" s="4">
        <v>206</v>
      </c>
      <c r="F236" s="4">
        <f>ROUND(Source!T215,O236)</f>
        <v>0</v>
      </c>
      <c r="G236" s="4" t="s">
        <v>112</v>
      </c>
      <c r="H236" s="4" t="s">
        <v>113</v>
      </c>
      <c r="I236" s="4"/>
      <c r="J236" s="4"/>
      <c r="K236" s="4">
        <v>206</v>
      </c>
      <c r="L236" s="4">
        <v>20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3" x14ac:dyDescent="0.2">
      <c r="A237" s="4">
        <v>50</v>
      </c>
      <c r="B237" s="4">
        <v>0</v>
      </c>
      <c r="C237" s="4">
        <v>0</v>
      </c>
      <c r="D237" s="4">
        <v>1</v>
      </c>
      <c r="E237" s="4">
        <v>207</v>
      </c>
      <c r="F237" s="4">
        <f>Source!U215</f>
        <v>339.01837951899995</v>
      </c>
      <c r="G237" s="4" t="s">
        <v>114</v>
      </c>
      <c r="H237" s="4" t="s">
        <v>115</v>
      </c>
      <c r="I237" s="4"/>
      <c r="J237" s="4"/>
      <c r="K237" s="4">
        <v>207</v>
      </c>
      <c r="L237" s="4">
        <v>21</v>
      </c>
      <c r="M237" s="4">
        <v>3</v>
      </c>
      <c r="N237" s="4" t="s">
        <v>3</v>
      </c>
      <c r="O237" s="4">
        <v>-1</v>
      </c>
      <c r="P237" s="4"/>
      <c r="Q237" s="4"/>
      <c r="R237" s="4"/>
      <c r="S237" s="4"/>
      <c r="T237" s="4"/>
      <c r="U237" s="4"/>
      <c r="V237" s="4"/>
      <c r="W237" s="4"/>
    </row>
    <row r="238" spans="1:23" x14ac:dyDescent="0.2">
      <c r="A238" s="4">
        <v>50</v>
      </c>
      <c r="B238" s="4">
        <v>0</v>
      </c>
      <c r="C238" s="4">
        <v>0</v>
      </c>
      <c r="D238" s="4">
        <v>1</v>
      </c>
      <c r="E238" s="4">
        <v>208</v>
      </c>
      <c r="F238" s="4">
        <f>Source!V215</f>
        <v>0</v>
      </c>
      <c r="G238" s="4" t="s">
        <v>116</v>
      </c>
      <c r="H238" s="4" t="s">
        <v>117</v>
      </c>
      <c r="I238" s="4"/>
      <c r="J238" s="4"/>
      <c r="K238" s="4">
        <v>208</v>
      </c>
      <c r="L238" s="4">
        <v>22</v>
      </c>
      <c r="M238" s="4">
        <v>3</v>
      </c>
      <c r="N238" s="4" t="s">
        <v>3</v>
      </c>
      <c r="O238" s="4">
        <v>-1</v>
      </c>
      <c r="P238" s="4"/>
      <c r="Q238" s="4"/>
      <c r="R238" s="4"/>
      <c r="S238" s="4"/>
      <c r="T238" s="4"/>
      <c r="U238" s="4"/>
      <c r="V238" s="4"/>
      <c r="W238" s="4"/>
    </row>
    <row r="239" spans="1:23" x14ac:dyDescent="0.2">
      <c r="A239" s="4">
        <v>50</v>
      </c>
      <c r="B239" s="4">
        <v>0</v>
      </c>
      <c r="C239" s="4">
        <v>0</v>
      </c>
      <c r="D239" s="4">
        <v>1</v>
      </c>
      <c r="E239" s="4">
        <v>209</v>
      </c>
      <c r="F239" s="4">
        <f>ROUND(Source!W215,O239)</f>
        <v>0</v>
      </c>
      <c r="G239" s="4" t="s">
        <v>118</v>
      </c>
      <c r="H239" s="4" t="s">
        <v>119</v>
      </c>
      <c r="I239" s="4"/>
      <c r="J239" s="4"/>
      <c r="K239" s="4">
        <v>209</v>
      </c>
      <c r="L239" s="4">
        <v>23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3" x14ac:dyDescent="0.2">
      <c r="A240" s="4">
        <v>50</v>
      </c>
      <c r="B240" s="4">
        <v>0</v>
      </c>
      <c r="C240" s="4">
        <v>0</v>
      </c>
      <c r="D240" s="4">
        <v>1</v>
      </c>
      <c r="E240" s="4">
        <v>210</v>
      </c>
      <c r="F240" s="4">
        <f>ROUND(Source!X215,O240)</f>
        <v>74382.5</v>
      </c>
      <c r="G240" s="4" t="s">
        <v>120</v>
      </c>
      <c r="H240" s="4" t="s">
        <v>121</v>
      </c>
      <c r="I240" s="4"/>
      <c r="J240" s="4"/>
      <c r="K240" s="4">
        <v>210</v>
      </c>
      <c r="L240" s="4">
        <v>24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45" x14ac:dyDescent="0.2">
      <c r="A241" s="4">
        <v>50</v>
      </c>
      <c r="B241" s="4">
        <v>0</v>
      </c>
      <c r="C241" s="4">
        <v>0</v>
      </c>
      <c r="D241" s="4">
        <v>1</v>
      </c>
      <c r="E241" s="4">
        <v>211</v>
      </c>
      <c r="F241" s="4">
        <f>ROUND(Source!Y215,O241)</f>
        <v>37650.910000000003</v>
      </c>
      <c r="G241" s="4" t="s">
        <v>122</v>
      </c>
      <c r="H241" s="4" t="s">
        <v>123</v>
      </c>
      <c r="I241" s="4"/>
      <c r="J241" s="4"/>
      <c r="K241" s="4">
        <v>211</v>
      </c>
      <c r="L241" s="4">
        <v>25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45" x14ac:dyDescent="0.2">
      <c r="A242" s="4">
        <v>50</v>
      </c>
      <c r="B242" s="4">
        <v>0</v>
      </c>
      <c r="C242" s="4">
        <v>0</v>
      </c>
      <c r="D242" s="4">
        <v>1</v>
      </c>
      <c r="E242" s="4">
        <v>224</v>
      </c>
      <c r="F242" s="4">
        <f>ROUND(Source!AR215,O242)</f>
        <v>1364291.52</v>
      </c>
      <c r="G242" s="4" t="s">
        <v>124</v>
      </c>
      <c r="H242" s="4" t="s">
        <v>125</v>
      </c>
      <c r="I242" s="4"/>
      <c r="J242" s="4"/>
      <c r="K242" s="4">
        <v>224</v>
      </c>
      <c r="L242" s="4">
        <v>26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4" spans="1:245" x14ac:dyDescent="0.2">
      <c r="A244" s="1">
        <v>4</v>
      </c>
      <c r="B244" s="1">
        <v>1</v>
      </c>
      <c r="C244" s="1"/>
      <c r="D244" s="1">
        <f>ROW(A264)</f>
        <v>264</v>
      </c>
      <c r="E244" s="1"/>
      <c r="F244" s="1" t="s">
        <v>12</v>
      </c>
      <c r="G244" s="1" t="s">
        <v>251</v>
      </c>
      <c r="H244" s="1" t="s">
        <v>3</v>
      </c>
      <c r="I244" s="1">
        <v>0</v>
      </c>
      <c r="J244" s="1"/>
      <c r="K244" s="1">
        <v>-1</v>
      </c>
      <c r="L244" s="1"/>
      <c r="M244" s="1"/>
      <c r="N244" s="1"/>
      <c r="O244" s="1"/>
      <c r="P244" s="1"/>
      <c r="Q244" s="1"/>
      <c r="R244" s="1"/>
      <c r="S244" s="1"/>
      <c r="T244" s="1"/>
      <c r="U244" s="1" t="s">
        <v>3</v>
      </c>
      <c r="V244" s="1">
        <v>0</v>
      </c>
      <c r="W244" s="1"/>
      <c r="X244" s="1"/>
      <c r="Y244" s="1"/>
      <c r="Z244" s="1"/>
      <c r="AA244" s="1"/>
      <c r="AB244" s="1" t="s">
        <v>3</v>
      </c>
      <c r="AC244" s="1" t="s">
        <v>3</v>
      </c>
      <c r="AD244" s="1" t="s">
        <v>3</v>
      </c>
      <c r="AE244" s="1" t="s">
        <v>3</v>
      </c>
      <c r="AF244" s="1" t="s">
        <v>3</v>
      </c>
      <c r="AG244" s="1" t="s">
        <v>3</v>
      </c>
      <c r="AH244" s="1"/>
      <c r="AI244" s="1"/>
      <c r="AJ244" s="1"/>
      <c r="AK244" s="1"/>
      <c r="AL244" s="1"/>
      <c r="AM244" s="1"/>
      <c r="AN244" s="1"/>
      <c r="AO244" s="1"/>
      <c r="AP244" s="1" t="s">
        <v>3</v>
      </c>
      <c r="AQ244" s="1" t="s">
        <v>3</v>
      </c>
      <c r="AR244" s="1" t="s">
        <v>3</v>
      </c>
      <c r="AS244" s="1"/>
      <c r="AT244" s="1"/>
      <c r="AU244" s="1"/>
      <c r="AV244" s="1"/>
      <c r="AW244" s="1"/>
      <c r="AX244" s="1"/>
      <c r="AY244" s="1"/>
      <c r="AZ244" s="1" t="s">
        <v>3</v>
      </c>
      <c r="BA244" s="1"/>
      <c r="BB244" s="1" t="s">
        <v>3</v>
      </c>
      <c r="BC244" s="1" t="s">
        <v>3</v>
      </c>
      <c r="BD244" s="1" t="s">
        <v>3</v>
      </c>
      <c r="BE244" s="1" t="s">
        <v>3</v>
      </c>
      <c r="BF244" s="1" t="s">
        <v>3</v>
      </c>
      <c r="BG244" s="1" t="s">
        <v>3</v>
      </c>
      <c r="BH244" s="1" t="s">
        <v>3</v>
      </c>
      <c r="BI244" s="1" t="s">
        <v>3</v>
      </c>
      <c r="BJ244" s="1" t="s">
        <v>3</v>
      </c>
      <c r="BK244" s="1" t="s">
        <v>3</v>
      </c>
      <c r="BL244" s="1" t="s">
        <v>3</v>
      </c>
      <c r="BM244" s="1" t="s">
        <v>3</v>
      </c>
      <c r="BN244" s="1" t="s">
        <v>3</v>
      </c>
      <c r="BO244" s="1" t="s">
        <v>3</v>
      </c>
      <c r="BP244" s="1" t="s">
        <v>3</v>
      </c>
      <c r="BQ244" s="1"/>
      <c r="BR244" s="1"/>
      <c r="BS244" s="1"/>
      <c r="BT244" s="1"/>
      <c r="BU244" s="1"/>
      <c r="BV244" s="1"/>
      <c r="BW244" s="1"/>
      <c r="BX244" s="1">
        <v>0</v>
      </c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>
        <v>0</v>
      </c>
    </row>
    <row r="246" spans="1:245" x14ac:dyDescent="0.2">
      <c r="A246" s="2">
        <v>52</v>
      </c>
      <c r="B246" s="2">
        <f t="shared" ref="B246:G246" si="216">B264</f>
        <v>1</v>
      </c>
      <c r="C246" s="2">
        <f t="shared" si="216"/>
        <v>4</v>
      </c>
      <c r="D246" s="2">
        <f t="shared" si="216"/>
        <v>244</v>
      </c>
      <c r="E246" s="2">
        <f t="shared" si="216"/>
        <v>0</v>
      </c>
      <c r="F246" s="2" t="str">
        <f t="shared" si="216"/>
        <v>Новый раздел</v>
      </c>
      <c r="G246" s="2" t="str">
        <f t="shared" si="216"/>
        <v>КАМЕРА БАЙПАСА 3,2*3,2*2,0  - 2шт</v>
      </c>
      <c r="H246" s="2"/>
      <c r="I246" s="2"/>
      <c r="J246" s="2"/>
      <c r="K246" s="2"/>
      <c r="L246" s="2"/>
      <c r="M246" s="2"/>
      <c r="N246" s="2"/>
      <c r="O246" s="2">
        <f t="shared" ref="O246:AT246" si="217">O264</f>
        <v>1805953.3</v>
      </c>
      <c r="P246" s="2">
        <f t="shared" si="217"/>
        <v>1657703.91</v>
      </c>
      <c r="Q246" s="2">
        <f t="shared" si="217"/>
        <v>85138.9</v>
      </c>
      <c r="R246" s="2">
        <f t="shared" si="217"/>
        <v>5478.15</v>
      </c>
      <c r="S246" s="2">
        <f t="shared" si="217"/>
        <v>63110.49</v>
      </c>
      <c r="T246" s="2">
        <f t="shared" si="217"/>
        <v>0</v>
      </c>
      <c r="U246" s="2">
        <f t="shared" si="217"/>
        <v>244.94775243999999</v>
      </c>
      <c r="V246" s="2">
        <f t="shared" si="217"/>
        <v>0</v>
      </c>
      <c r="W246" s="2">
        <f t="shared" si="217"/>
        <v>0</v>
      </c>
      <c r="X246" s="2">
        <f t="shared" si="217"/>
        <v>78188.850000000006</v>
      </c>
      <c r="Y246" s="2">
        <f t="shared" si="217"/>
        <v>35329.1</v>
      </c>
      <c r="Z246" s="2">
        <f t="shared" si="217"/>
        <v>0</v>
      </c>
      <c r="AA246" s="2">
        <f t="shared" si="217"/>
        <v>0</v>
      </c>
      <c r="AB246" s="2">
        <f t="shared" si="217"/>
        <v>1805953.3</v>
      </c>
      <c r="AC246" s="2">
        <f t="shared" si="217"/>
        <v>1657703.91</v>
      </c>
      <c r="AD246" s="2">
        <f t="shared" si="217"/>
        <v>85138.9</v>
      </c>
      <c r="AE246" s="2">
        <f t="shared" si="217"/>
        <v>5478.15</v>
      </c>
      <c r="AF246" s="2">
        <f t="shared" si="217"/>
        <v>63110.49</v>
      </c>
      <c r="AG246" s="2">
        <f t="shared" si="217"/>
        <v>0</v>
      </c>
      <c r="AH246" s="2">
        <f t="shared" si="217"/>
        <v>244.94775243999999</v>
      </c>
      <c r="AI246" s="2">
        <f t="shared" si="217"/>
        <v>0</v>
      </c>
      <c r="AJ246" s="2">
        <f t="shared" si="217"/>
        <v>0</v>
      </c>
      <c r="AK246" s="2">
        <f t="shared" si="217"/>
        <v>78188.850000000006</v>
      </c>
      <c r="AL246" s="2">
        <f t="shared" si="217"/>
        <v>35329.1</v>
      </c>
      <c r="AM246" s="2">
        <f t="shared" si="217"/>
        <v>0</v>
      </c>
      <c r="AN246" s="2">
        <f t="shared" si="217"/>
        <v>0</v>
      </c>
      <c r="AO246" s="2">
        <f t="shared" si="217"/>
        <v>0</v>
      </c>
      <c r="AP246" s="2">
        <f t="shared" si="217"/>
        <v>963789.24</v>
      </c>
      <c r="AQ246" s="2">
        <f t="shared" si="217"/>
        <v>0</v>
      </c>
      <c r="AR246" s="2">
        <f t="shared" si="217"/>
        <v>2705225.7</v>
      </c>
      <c r="AS246" s="2">
        <f t="shared" si="217"/>
        <v>1674688.13</v>
      </c>
      <c r="AT246" s="2">
        <f t="shared" si="217"/>
        <v>0</v>
      </c>
      <c r="AU246" s="2">
        <f t="shared" ref="AU246:BZ246" si="218">AU264</f>
        <v>72781.509999999995</v>
      </c>
      <c r="AV246" s="2">
        <f t="shared" si="218"/>
        <v>1657703.91</v>
      </c>
      <c r="AW246" s="2">
        <f t="shared" si="218"/>
        <v>693914.67</v>
      </c>
      <c r="AX246" s="2">
        <f t="shared" si="218"/>
        <v>0</v>
      </c>
      <c r="AY246" s="2">
        <f t="shared" si="218"/>
        <v>693914.67</v>
      </c>
      <c r="AZ246" s="2">
        <f t="shared" si="218"/>
        <v>963789.24</v>
      </c>
      <c r="BA246" s="2">
        <f t="shared" si="218"/>
        <v>-6033.18</v>
      </c>
      <c r="BB246" s="2">
        <f t="shared" si="218"/>
        <v>194162.38</v>
      </c>
      <c r="BC246" s="2">
        <f t="shared" si="218"/>
        <v>589024.56000000006</v>
      </c>
      <c r="BD246" s="2">
        <f t="shared" si="218"/>
        <v>0</v>
      </c>
      <c r="BE246" s="2">
        <f t="shared" si="218"/>
        <v>0</v>
      </c>
      <c r="BF246" s="2">
        <f t="shared" si="218"/>
        <v>0</v>
      </c>
      <c r="BG246" s="2">
        <f t="shared" si="218"/>
        <v>0</v>
      </c>
      <c r="BH246" s="2">
        <f t="shared" si="218"/>
        <v>0</v>
      </c>
      <c r="BI246" s="2">
        <f t="shared" si="218"/>
        <v>0</v>
      </c>
      <c r="BJ246" s="2">
        <f t="shared" si="218"/>
        <v>0</v>
      </c>
      <c r="BK246" s="2">
        <f t="shared" si="218"/>
        <v>0</v>
      </c>
      <c r="BL246" s="2">
        <f t="shared" si="218"/>
        <v>0</v>
      </c>
      <c r="BM246" s="2">
        <f t="shared" si="218"/>
        <v>0</v>
      </c>
      <c r="BN246" s="2">
        <f t="shared" si="218"/>
        <v>0</v>
      </c>
      <c r="BO246" s="2">
        <f t="shared" si="218"/>
        <v>0</v>
      </c>
      <c r="BP246" s="2">
        <f t="shared" si="218"/>
        <v>0</v>
      </c>
      <c r="BQ246" s="2">
        <f t="shared" si="218"/>
        <v>0</v>
      </c>
      <c r="BR246" s="2">
        <f t="shared" si="218"/>
        <v>0</v>
      </c>
      <c r="BS246" s="2">
        <f t="shared" si="218"/>
        <v>0</v>
      </c>
      <c r="BT246" s="2">
        <f t="shared" si="218"/>
        <v>0</v>
      </c>
      <c r="BU246" s="2">
        <f t="shared" si="218"/>
        <v>0</v>
      </c>
      <c r="BV246" s="2">
        <f t="shared" si="218"/>
        <v>0</v>
      </c>
      <c r="BW246" s="2">
        <f t="shared" si="218"/>
        <v>0</v>
      </c>
      <c r="BX246" s="2">
        <f t="shared" si="218"/>
        <v>0</v>
      </c>
      <c r="BY246" s="2">
        <f t="shared" si="218"/>
        <v>963789.24</v>
      </c>
      <c r="BZ246" s="2">
        <f t="shared" si="218"/>
        <v>0</v>
      </c>
      <c r="CA246" s="2">
        <f t="shared" ref="CA246:DF246" si="219">CA264</f>
        <v>2705225.7</v>
      </c>
      <c r="CB246" s="2">
        <f t="shared" si="219"/>
        <v>1674688.13</v>
      </c>
      <c r="CC246" s="2">
        <f t="shared" si="219"/>
        <v>0</v>
      </c>
      <c r="CD246" s="2">
        <f t="shared" si="219"/>
        <v>72781.509999999995</v>
      </c>
      <c r="CE246" s="2">
        <f t="shared" si="219"/>
        <v>1657703.91</v>
      </c>
      <c r="CF246" s="2">
        <f t="shared" si="219"/>
        <v>693914.66999999993</v>
      </c>
      <c r="CG246" s="2">
        <f t="shared" si="219"/>
        <v>0</v>
      </c>
      <c r="CH246" s="2">
        <f t="shared" si="219"/>
        <v>693914.66999999993</v>
      </c>
      <c r="CI246" s="2">
        <f t="shared" si="219"/>
        <v>963789.24</v>
      </c>
      <c r="CJ246" s="2">
        <f t="shared" si="219"/>
        <v>-6033.18</v>
      </c>
      <c r="CK246" s="2">
        <f t="shared" si="219"/>
        <v>194162.38</v>
      </c>
      <c r="CL246" s="2">
        <f t="shared" si="219"/>
        <v>589024.56000000006</v>
      </c>
      <c r="CM246" s="2">
        <f t="shared" si="219"/>
        <v>0</v>
      </c>
      <c r="CN246" s="2">
        <f t="shared" si="219"/>
        <v>0</v>
      </c>
      <c r="CO246" s="2">
        <f t="shared" si="219"/>
        <v>0</v>
      </c>
      <c r="CP246" s="2">
        <f t="shared" si="219"/>
        <v>0</v>
      </c>
      <c r="CQ246" s="2">
        <f t="shared" si="219"/>
        <v>0</v>
      </c>
      <c r="CR246" s="2">
        <f t="shared" si="219"/>
        <v>0</v>
      </c>
      <c r="CS246" s="2">
        <f t="shared" si="219"/>
        <v>0</v>
      </c>
      <c r="CT246" s="2">
        <f t="shared" si="219"/>
        <v>0</v>
      </c>
      <c r="CU246" s="2">
        <f t="shared" si="219"/>
        <v>0</v>
      </c>
      <c r="CV246" s="2">
        <f t="shared" si="219"/>
        <v>0</v>
      </c>
      <c r="CW246" s="2">
        <f t="shared" si="219"/>
        <v>0</v>
      </c>
      <c r="CX246" s="2">
        <f t="shared" si="219"/>
        <v>0</v>
      </c>
      <c r="CY246" s="2">
        <f t="shared" si="219"/>
        <v>0</v>
      </c>
      <c r="CZ246" s="2">
        <f t="shared" si="219"/>
        <v>0</v>
      </c>
      <c r="DA246" s="2">
        <f t="shared" si="219"/>
        <v>0</v>
      </c>
      <c r="DB246" s="2">
        <f t="shared" si="219"/>
        <v>0</v>
      </c>
      <c r="DC246" s="2">
        <f t="shared" si="219"/>
        <v>0</v>
      </c>
      <c r="DD246" s="2">
        <f t="shared" si="219"/>
        <v>0</v>
      </c>
      <c r="DE246" s="2">
        <f t="shared" si="219"/>
        <v>0</v>
      </c>
      <c r="DF246" s="2">
        <f t="shared" si="219"/>
        <v>0</v>
      </c>
      <c r="DG246" s="3">
        <f t="shared" ref="DG246:EL246" si="220">DG264</f>
        <v>0</v>
      </c>
      <c r="DH246" s="3">
        <f t="shared" si="220"/>
        <v>0</v>
      </c>
      <c r="DI246" s="3">
        <f t="shared" si="220"/>
        <v>0</v>
      </c>
      <c r="DJ246" s="3">
        <f t="shared" si="220"/>
        <v>0</v>
      </c>
      <c r="DK246" s="3">
        <f t="shared" si="220"/>
        <v>0</v>
      </c>
      <c r="DL246" s="3">
        <f t="shared" si="220"/>
        <v>0</v>
      </c>
      <c r="DM246" s="3">
        <f t="shared" si="220"/>
        <v>0</v>
      </c>
      <c r="DN246" s="3">
        <f t="shared" si="220"/>
        <v>0</v>
      </c>
      <c r="DO246" s="3">
        <f t="shared" si="220"/>
        <v>0</v>
      </c>
      <c r="DP246" s="3">
        <f t="shared" si="220"/>
        <v>0</v>
      </c>
      <c r="DQ246" s="3">
        <f t="shared" si="220"/>
        <v>0</v>
      </c>
      <c r="DR246" s="3">
        <f t="shared" si="220"/>
        <v>0</v>
      </c>
      <c r="DS246" s="3">
        <f t="shared" si="220"/>
        <v>0</v>
      </c>
      <c r="DT246" s="3">
        <f t="shared" si="220"/>
        <v>0</v>
      </c>
      <c r="DU246" s="3">
        <f t="shared" si="220"/>
        <v>0</v>
      </c>
      <c r="DV246" s="3">
        <f t="shared" si="220"/>
        <v>0</v>
      </c>
      <c r="DW246" s="3">
        <f t="shared" si="220"/>
        <v>0</v>
      </c>
      <c r="DX246" s="3">
        <f t="shared" si="220"/>
        <v>0</v>
      </c>
      <c r="DY246" s="3">
        <f t="shared" si="220"/>
        <v>0</v>
      </c>
      <c r="DZ246" s="3">
        <f t="shared" si="220"/>
        <v>0</v>
      </c>
      <c r="EA246" s="3">
        <f t="shared" si="220"/>
        <v>0</v>
      </c>
      <c r="EB246" s="3">
        <f t="shared" si="220"/>
        <v>0</v>
      </c>
      <c r="EC246" s="3">
        <f t="shared" si="220"/>
        <v>0</v>
      </c>
      <c r="ED246" s="3">
        <f t="shared" si="220"/>
        <v>0</v>
      </c>
      <c r="EE246" s="3">
        <f t="shared" si="220"/>
        <v>0</v>
      </c>
      <c r="EF246" s="3">
        <f t="shared" si="220"/>
        <v>0</v>
      </c>
      <c r="EG246" s="3">
        <f t="shared" si="220"/>
        <v>0</v>
      </c>
      <c r="EH246" s="3">
        <f t="shared" si="220"/>
        <v>0</v>
      </c>
      <c r="EI246" s="3">
        <f t="shared" si="220"/>
        <v>0</v>
      </c>
      <c r="EJ246" s="3">
        <f t="shared" si="220"/>
        <v>0</v>
      </c>
      <c r="EK246" s="3">
        <f t="shared" si="220"/>
        <v>0</v>
      </c>
      <c r="EL246" s="3">
        <f t="shared" si="220"/>
        <v>0</v>
      </c>
      <c r="EM246" s="3">
        <f t="shared" ref="EM246:FR246" si="221">EM264</f>
        <v>0</v>
      </c>
      <c r="EN246" s="3">
        <f t="shared" si="221"/>
        <v>0</v>
      </c>
      <c r="EO246" s="3">
        <f t="shared" si="221"/>
        <v>0</v>
      </c>
      <c r="EP246" s="3">
        <f t="shared" si="221"/>
        <v>0</v>
      </c>
      <c r="EQ246" s="3">
        <f t="shared" si="221"/>
        <v>0</v>
      </c>
      <c r="ER246" s="3">
        <f t="shared" si="221"/>
        <v>0</v>
      </c>
      <c r="ES246" s="3">
        <f t="shared" si="221"/>
        <v>0</v>
      </c>
      <c r="ET246" s="3">
        <f t="shared" si="221"/>
        <v>0</v>
      </c>
      <c r="EU246" s="3">
        <f t="shared" si="221"/>
        <v>0</v>
      </c>
      <c r="EV246" s="3">
        <f t="shared" si="221"/>
        <v>0</v>
      </c>
      <c r="EW246" s="3">
        <f t="shared" si="221"/>
        <v>0</v>
      </c>
      <c r="EX246" s="3">
        <f t="shared" si="221"/>
        <v>0</v>
      </c>
      <c r="EY246" s="3">
        <f t="shared" si="221"/>
        <v>0</v>
      </c>
      <c r="EZ246" s="3">
        <f t="shared" si="221"/>
        <v>0</v>
      </c>
      <c r="FA246" s="3">
        <f t="shared" si="221"/>
        <v>0</v>
      </c>
      <c r="FB246" s="3">
        <f t="shared" si="221"/>
        <v>0</v>
      </c>
      <c r="FC246" s="3">
        <f t="shared" si="221"/>
        <v>0</v>
      </c>
      <c r="FD246" s="3">
        <f t="shared" si="221"/>
        <v>0</v>
      </c>
      <c r="FE246" s="3">
        <f t="shared" si="221"/>
        <v>0</v>
      </c>
      <c r="FF246" s="3">
        <f t="shared" si="221"/>
        <v>0</v>
      </c>
      <c r="FG246" s="3">
        <f t="shared" si="221"/>
        <v>0</v>
      </c>
      <c r="FH246" s="3">
        <f t="shared" si="221"/>
        <v>0</v>
      </c>
      <c r="FI246" s="3">
        <f t="shared" si="221"/>
        <v>0</v>
      </c>
      <c r="FJ246" s="3">
        <f t="shared" si="221"/>
        <v>0</v>
      </c>
      <c r="FK246" s="3">
        <f t="shared" si="221"/>
        <v>0</v>
      </c>
      <c r="FL246" s="3">
        <f t="shared" si="221"/>
        <v>0</v>
      </c>
      <c r="FM246" s="3">
        <f t="shared" si="221"/>
        <v>0</v>
      </c>
      <c r="FN246" s="3">
        <f t="shared" si="221"/>
        <v>0</v>
      </c>
      <c r="FO246" s="3">
        <f t="shared" si="221"/>
        <v>0</v>
      </c>
      <c r="FP246" s="3">
        <f t="shared" si="221"/>
        <v>0</v>
      </c>
      <c r="FQ246" s="3">
        <f t="shared" si="221"/>
        <v>0</v>
      </c>
      <c r="FR246" s="3">
        <f t="shared" si="221"/>
        <v>0</v>
      </c>
      <c r="FS246" s="3">
        <f t="shared" ref="FS246:GX246" si="222">FS264</f>
        <v>0</v>
      </c>
      <c r="FT246" s="3">
        <f t="shared" si="222"/>
        <v>0</v>
      </c>
      <c r="FU246" s="3">
        <f t="shared" si="222"/>
        <v>0</v>
      </c>
      <c r="FV246" s="3">
        <f t="shared" si="222"/>
        <v>0</v>
      </c>
      <c r="FW246" s="3">
        <f t="shared" si="222"/>
        <v>0</v>
      </c>
      <c r="FX246" s="3">
        <f t="shared" si="222"/>
        <v>0</v>
      </c>
      <c r="FY246" s="3">
        <f t="shared" si="222"/>
        <v>0</v>
      </c>
      <c r="FZ246" s="3">
        <f t="shared" si="222"/>
        <v>0</v>
      </c>
      <c r="GA246" s="3">
        <f t="shared" si="222"/>
        <v>0</v>
      </c>
      <c r="GB246" s="3">
        <f t="shared" si="222"/>
        <v>0</v>
      </c>
      <c r="GC246" s="3">
        <f t="shared" si="222"/>
        <v>0</v>
      </c>
      <c r="GD246" s="3">
        <f t="shared" si="222"/>
        <v>0</v>
      </c>
      <c r="GE246" s="3">
        <f t="shared" si="222"/>
        <v>0</v>
      </c>
      <c r="GF246" s="3">
        <f t="shared" si="222"/>
        <v>0</v>
      </c>
      <c r="GG246" s="3">
        <f t="shared" si="222"/>
        <v>0</v>
      </c>
      <c r="GH246" s="3">
        <f t="shared" si="222"/>
        <v>0</v>
      </c>
      <c r="GI246" s="3">
        <f t="shared" si="222"/>
        <v>0</v>
      </c>
      <c r="GJ246" s="3">
        <f t="shared" si="222"/>
        <v>0</v>
      </c>
      <c r="GK246" s="3">
        <f t="shared" si="222"/>
        <v>0</v>
      </c>
      <c r="GL246" s="3">
        <f t="shared" si="222"/>
        <v>0</v>
      </c>
      <c r="GM246" s="3">
        <f t="shared" si="222"/>
        <v>0</v>
      </c>
      <c r="GN246" s="3">
        <f t="shared" si="222"/>
        <v>0</v>
      </c>
      <c r="GO246" s="3">
        <f t="shared" si="222"/>
        <v>0</v>
      </c>
      <c r="GP246" s="3">
        <f t="shared" si="222"/>
        <v>0</v>
      </c>
      <c r="GQ246" s="3">
        <f t="shared" si="222"/>
        <v>0</v>
      </c>
      <c r="GR246" s="3">
        <f t="shared" si="222"/>
        <v>0</v>
      </c>
      <c r="GS246" s="3">
        <f t="shared" si="222"/>
        <v>0</v>
      </c>
      <c r="GT246" s="3">
        <f t="shared" si="222"/>
        <v>0</v>
      </c>
      <c r="GU246" s="3">
        <f t="shared" si="222"/>
        <v>0</v>
      </c>
      <c r="GV246" s="3">
        <f t="shared" si="222"/>
        <v>0</v>
      </c>
      <c r="GW246" s="3">
        <f t="shared" si="222"/>
        <v>0</v>
      </c>
      <c r="GX246" s="3">
        <f t="shared" si="222"/>
        <v>0</v>
      </c>
    </row>
    <row r="248" spans="1:245" x14ac:dyDescent="0.2">
      <c r="A248">
        <v>17</v>
      </c>
      <c r="B248">
        <v>1</v>
      </c>
      <c r="C248">
        <f>ROW(SmtRes!A89)</f>
        <v>89</v>
      </c>
      <c r="D248">
        <f>ROW(EtalonRes!A88)</f>
        <v>88</v>
      </c>
      <c r="E248" t="s">
        <v>252</v>
      </c>
      <c r="F248" t="s">
        <v>166</v>
      </c>
      <c r="G248" t="s">
        <v>167</v>
      </c>
      <c r="H248" t="s">
        <v>168</v>
      </c>
      <c r="I248">
        <f>ROUND(2,3)</f>
        <v>2</v>
      </c>
      <c r="J248">
        <v>0</v>
      </c>
      <c r="O248">
        <f t="shared" ref="O248:O262" si="223">ROUND(CP248,2)</f>
        <v>337413.31</v>
      </c>
      <c r="P248">
        <f t="shared" ref="P248:P262" si="224">ROUND((ROUND((AC248*AW248*I248),2)*BC248),2)</f>
        <v>337413.31</v>
      </c>
      <c r="Q248">
        <f>0</f>
        <v>0</v>
      </c>
      <c r="R248">
        <f t="shared" ref="R248:R262" si="225">ROUND((ROUND((AE248*AV248*I248),2)*BS248),2)</f>
        <v>0</v>
      </c>
      <c r="S248">
        <f>0</f>
        <v>0</v>
      </c>
      <c r="T248">
        <f t="shared" ref="T248:T262" si="226">ROUND(CU248*I248,2)</f>
        <v>0</v>
      </c>
      <c r="U248">
        <f t="shared" ref="U248:U262" si="227">CV248*I248</f>
        <v>0</v>
      </c>
      <c r="V248">
        <f t="shared" ref="V248:V262" si="228">CW248*I248</f>
        <v>0</v>
      </c>
      <c r="W248">
        <f t="shared" ref="W248:W262" si="229">ROUND(CX248*I248,2)</f>
        <v>0</v>
      </c>
      <c r="X248">
        <f t="shared" ref="X248:X262" si="230">ROUND(CY248,2)</f>
        <v>0</v>
      </c>
      <c r="Y248">
        <f t="shared" ref="Y248:Y262" si="231">ROUND(CZ248,2)</f>
        <v>0</v>
      </c>
      <c r="AA248">
        <v>309315610</v>
      </c>
      <c r="AB248">
        <f>ROUND((AC248+0+0),6)</f>
        <v>26949.945</v>
      </c>
      <c r="AC248">
        <f>ROUND(((ES248*0.701)),6)</f>
        <v>26949.945</v>
      </c>
      <c r="AD248">
        <f>ROUND(((((ET248*1.15*0.701))-((EU248*1.15*0.701)))+AE248),6)</f>
        <v>1621.9738</v>
      </c>
      <c r="AE248">
        <f>ROUND(((EU248*1.15*0.701)),6)</f>
        <v>0</v>
      </c>
      <c r="AF248">
        <f>ROUND(((EV248*1.15*0.701)),6)</f>
        <v>4789.3371500000003</v>
      </c>
      <c r="AG248">
        <f t="shared" ref="AG248:AG262" si="232">ROUND((AP248),6)</f>
        <v>0</v>
      </c>
      <c r="AH248">
        <f>((EW248*1.15*0.701))</f>
        <v>0</v>
      </c>
      <c r="AI248">
        <f>((EX248*1.15*0.701))</f>
        <v>0</v>
      </c>
      <c r="AJ248">
        <f t="shared" ref="AJ248:AJ262" si="233">(AS248)</f>
        <v>0</v>
      </c>
      <c r="AK248">
        <v>45877</v>
      </c>
      <c r="AL248">
        <v>38445</v>
      </c>
      <c r="AM248">
        <v>2012</v>
      </c>
      <c r="AN248">
        <v>0</v>
      </c>
      <c r="AO248">
        <v>5941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1</v>
      </c>
      <c r="AW248">
        <v>1</v>
      </c>
      <c r="AZ248">
        <v>1</v>
      </c>
      <c r="BA248">
        <v>19.079999999999998</v>
      </c>
      <c r="BB248">
        <v>11.44</v>
      </c>
      <c r="BC248">
        <v>6.26</v>
      </c>
      <c r="BD248" t="s">
        <v>3</v>
      </c>
      <c r="BE248" t="s">
        <v>3</v>
      </c>
      <c r="BF248" t="s">
        <v>3</v>
      </c>
      <c r="BG248" t="s">
        <v>3</v>
      </c>
      <c r="BH248">
        <v>0</v>
      </c>
      <c r="BI248">
        <v>1</v>
      </c>
      <c r="BJ248" t="s">
        <v>169</v>
      </c>
      <c r="BM248">
        <v>1114</v>
      </c>
      <c r="BN248">
        <v>0</v>
      </c>
      <c r="BO248" t="s">
        <v>166</v>
      </c>
      <c r="BP248">
        <v>1</v>
      </c>
      <c r="BQ248">
        <v>160</v>
      </c>
      <c r="BR248">
        <v>0</v>
      </c>
      <c r="BS248">
        <v>19.079999999999998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3</v>
      </c>
      <c r="BZ248">
        <v>0</v>
      </c>
      <c r="CA248">
        <v>0</v>
      </c>
      <c r="CE248">
        <v>30</v>
      </c>
      <c r="CF248">
        <v>0</v>
      </c>
      <c r="CG248">
        <v>0</v>
      </c>
      <c r="CM248">
        <v>0</v>
      </c>
      <c r="CN248" t="s">
        <v>253</v>
      </c>
      <c r="CO248">
        <v>0</v>
      </c>
      <c r="CP248">
        <f t="shared" ref="CP248:CP262" si="234">(P248+Q248+S248)</f>
        <v>337413.31</v>
      </c>
      <c r="CQ248">
        <f t="shared" ref="CQ248:CQ262" si="235">ROUND((ROUND((AC248*AW248*1),2)*BC248),2)</f>
        <v>168706.69</v>
      </c>
      <c r="CR248">
        <f>(ROUND((ROUND((((ET248*1.15*0.701))*AV248*1),2)*BB248),2)+ROUND((ROUND(((AE248-((EU248*1.15*0.701)))*AV248*1),2)*BS248),2))</f>
        <v>18555.34</v>
      </c>
      <c r="CS248">
        <f t="shared" ref="CS248:CS262" si="236">ROUND((ROUND((AE248*AV248*1),2)*BS248),2)</f>
        <v>0</v>
      </c>
      <c r="CT248">
        <f t="shared" ref="CT248:CT262" si="237">ROUND((ROUND((AF248*AV248*1),2)*BA248),2)</f>
        <v>91380.61</v>
      </c>
      <c r="CU248">
        <f t="shared" ref="CU248:CU262" si="238">AG248</f>
        <v>0</v>
      </c>
      <c r="CV248">
        <f t="shared" ref="CV248:CV262" si="239">(AH248*AV248)</f>
        <v>0</v>
      </c>
      <c r="CW248">
        <f t="shared" ref="CW248:CW262" si="240">AI248</f>
        <v>0</v>
      </c>
      <c r="CX248">
        <f t="shared" ref="CX248:CX262" si="241">AJ248</f>
        <v>0</v>
      </c>
      <c r="CY248">
        <f t="shared" ref="CY248:CY262" si="242">S248*(BZ248/100)</f>
        <v>0</v>
      </c>
      <c r="CZ248">
        <f t="shared" ref="CZ248:CZ262" si="243">S248*(CA248/100)</f>
        <v>0</v>
      </c>
      <c r="DC248" t="s">
        <v>3</v>
      </c>
      <c r="DD248" t="s">
        <v>254</v>
      </c>
      <c r="DE248" t="s">
        <v>255</v>
      </c>
      <c r="DF248" t="s">
        <v>255</v>
      </c>
      <c r="DG248" t="s">
        <v>255</v>
      </c>
      <c r="DH248" t="s">
        <v>3</v>
      </c>
      <c r="DI248" t="s">
        <v>255</v>
      </c>
      <c r="DJ248" t="s">
        <v>255</v>
      </c>
      <c r="DK248" t="s">
        <v>3</v>
      </c>
      <c r="DL248" t="s">
        <v>3</v>
      </c>
      <c r="DM248" t="s">
        <v>3</v>
      </c>
      <c r="DN248">
        <v>0</v>
      </c>
      <c r="DO248">
        <v>0</v>
      </c>
      <c r="DP248">
        <v>1</v>
      </c>
      <c r="DQ248">
        <v>1</v>
      </c>
      <c r="DU248">
        <v>1013</v>
      </c>
      <c r="DV248" t="s">
        <v>168</v>
      </c>
      <c r="DW248" t="s">
        <v>168</v>
      </c>
      <c r="DX248">
        <v>1</v>
      </c>
      <c r="EE248">
        <v>298189190</v>
      </c>
      <c r="EF248">
        <v>160</v>
      </c>
      <c r="EG248" t="s">
        <v>23</v>
      </c>
      <c r="EH248">
        <v>0</v>
      </c>
      <c r="EI248" t="s">
        <v>3</v>
      </c>
      <c r="EJ248">
        <v>1</v>
      </c>
      <c r="EK248">
        <v>1114</v>
      </c>
      <c r="EL248" t="s">
        <v>24</v>
      </c>
      <c r="EM248" t="s">
        <v>25</v>
      </c>
      <c r="EO248" t="s">
        <v>3</v>
      </c>
      <c r="EQ248">
        <v>512</v>
      </c>
      <c r="ER248">
        <v>45877</v>
      </c>
      <c r="ES248">
        <v>38445</v>
      </c>
      <c r="ET248">
        <v>2012</v>
      </c>
      <c r="EU248">
        <v>0</v>
      </c>
      <c r="EV248">
        <v>5941</v>
      </c>
      <c r="EW248">
        <v>0</v>
      </c>
      <c r="EX248">
        <v>0</v>
      </c>
      <c r="EY248">
        <v>1</v>
      </c>
      <c r="FQ248">
        <v>0</v>
      </c>
      <c r="FR248">
        <f t="shared" ref="FR248:FR262" si="244">ROUND(IF(AND(BH248=3,BI248=3),P248,0),2)</f>
        <v>0</v>
      </c>
      <c r="FS248">
        <v>0</v>
      </c>
      <c r="FX248">
        <v>0</v>
      </c>
      <c r="FY248">
        <v>0</v>
      </c>
      <c r="GA248" t="s">
        <v>3</v>
      </c>
      <c r="GD248">
        <v>1</v>
      </c>
      <c r="GF248">
        <v>-1203836338</v>
      </c>
      <c r="GG248">
        <v>2</v>
      </c>
      <c r="GH248">
        <v>1</v>
      </c>
      <c r="GI248">
        <v>2</v>
      </c>
      <c r="GJ248">
        <v>3</v>
      </c>
      <c r="GK248">
        <v>0</v>
      </c>
      <c r="GL248">
        <f t="shared" ref="GL248:GL262" si="245">ROUND(IF(AND(BH248=3,BI248=3,FS248&lt;&gt;0),P248,0),2)</f>
        <v>0</v>
      </c>
      <c r="GM248">
        <f>ROUND(P248+GY248+GZ248,2)+GX248</f>
        <v>551251.93999999994</v>
      </c>
      <c r="GN248">
        <f>IF(OR(BI248=0,BI248=1),ROUND(P248+GY248+GZ248,2),0)</f>
        <v>557285.12</v>
      </c>
      <c r="GO248">
        <f>IF(BI248=2,ROUND(P248+GY248+GZ248,2),0)</f>
        <v>0</v>
      </c>
      <c r="GP248">
        <f>IF(BI248=4,ROUND(P248+GY248+GZ248,2)+GX248,0)</f>
        <v>0</v>
      </c>
      <c r="GR248">
        <v>0</v>
      </c>
      <c r="GS248">
        <v>3</v>
      </c>
      <c r="GT248">
        <v>-521</v>
      </c>
      <c r="GU248" t="s">
        <v>3</v>
      </c>
      <c r="GV248">
        <f t="shared" ref="GV248:GV262" si="246">ROUND((GT248),6)</f>
        <v>-521</v>
      </c>
      <c r="GW248">
        <v>5.79</v>
      </c>
      <c r="GX248">
        <f t="shared" ref="GX248:GX262" si="247">ROUND(HC248*I248,2)</f>
        <v>-6033.18</v>
      </c>
      <c r="GY248">
        <f>(ROUND((ROUND((((ET248*1.15*0.701))*AV248*I248),2)*BB248),2)+ROUND((ROUND(((AE248-((EU248*1.15*0.701)))*AV248*I248),2)*BS248),2))</f>
        <v>37110.79</v>
      </c>
      <c r="GZ248">
        <f>ROUND((ROUND((AF248*AV248*I248),2)*BA248),2)</f>
        <v>182761.02</v>
      </c>
      <c r="HA248">
        <v>23.93</v>
      </c>
      <c r="HB248">
        <v>0.33600000000000002</v>
      </c>
      <c r="HC248">
        <f t="shared" ref="HC248:HC262" si="248">GV248*GW248</f>
        <v>-3016.59</v>
      </c>
      <c r="IK248">
        <v>0</v>
      </c>
    </row>
    <row r="249" spans="1:245" x14ac:dyDescent="0.2">
      <c r="A249">
        <v>18</v>
      </c>
      <c r="B249">
        <v>1</v>
      </c>
      <c r="C249">
        <v>88</v>
      </c>
      <c r="E249" t="s">
        <v>256</v>
      </c>
      <c r="F249" t="s">
        <v>27</v>
      </c>
      <c r="G249" t="s">
        <v>28</v>
      </c>
      <c r="H249" t="s">
        <v>29</v>
      </c>
      <c r="I249">
        <f>I248*J249</f>
        <v>0.47107199999999999</v>
      </c>
      <c r="J249">
        <v>0.235536</v>
      </c>
      <c r="O249">
        <f t="shared" si="223"/>
        <v>0</v>
      </c>
      <c r="P249">
        <f t="shared" si="224"/>
        <v>0</v>
      </c>
      <c r="Q249">
        <f>(ROUND((ROUND(((ET249)*AV249*I249),2)*BB249),2)+ROUND((ROUND(((AE249-(EU249))*AV249*I249),2)*BS249),2))</f>
        <v>0</v>
      </c>
      <c r="R249">
        <f t="shared" si="225"/>
        <v>0</v>
      </c>
      <c r="S249">
        <f>ROUND((ROUND((AF249*AV249*I249),2)*BA249),2)</f>
        <v>0</v>
      </c>
      <c r="T249">
        <f t="shared" si="226"/>
        <v>0</v>
      </c>
      <c r="U249">
        <f t="shared" si="227"/>
        <v>0</v>
      </c>
      <c r="V249">
        <f t="shared" si="228"/>
        <v>0</v>
      </c>
      <c r="W249">
        <f t="shared" si="229"/>
        <v>0</v>
      </c>
      <c r="X249">
        <f t="shared" si="230"/>
        <v>0</v>
      </c>
      <c r="Y249">
        <f t="shared" si="231"/>
        <v>0</v>
      </c>
      <c r="AA249">
        <v>309315610</v>
      </c>
      <c r="AB249">
        <f>ROUND((AC249+AD249+AF249),6)</f>
        <v>0</v>
      </c>
      <c r="AC249">
        <f t="shared" ref="AC249:AC254" si="249">ROUND((ES249),6)</f>
        <v>0</v>
      </c>
      <c r="AD249">
        <f>ROUND((((ET249)-(EU249))+AE249),6)</f>
        <v>0</v>
      </c>
      <c r="AE249">
        <f>ROUND((EU249),6)</f>
        <v>0</v>
      </c>
      <c r="AF249">
        <f>ROUND((EV249),6)</f>
        <v>0</v>
      </c>
      <c r="AG249">
        <f t="shared" si="232"/>
        <v>0</v>
      </c>
      <c r="AH249">
        <f>(EW249)</f>
        <v>0</v>
      </c>
      <c r="AI249">
        <f>(EX249)</f>
        <v>0</v>
      </c>
      <c r="AJ249">
        <f t="shared" si="233"/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3</v>
      </c>
      <c r="BE249" t="s">
        <v>3</v>
      </c>
      <c r="BF249" t="s">
        <v>3</v>
      </c>
      <c r="BG249" t="s">
        <v>3</v>
      </c>
      <c r="BH249">
        <v>3</v>
      </c>
      <c r="BI249">
        <v>1</v>
      </c>
      <c r="BJ249" t="s">
        <v>3</v>
      </c>
      <c r="BM249">
        <v>1114</v>
      </c>
      <c r="BN249">
        <v>0</v>
      </c>
      <c r="BO249" t="s">
        <v>3</v>
      </c>
      <c r="BP249">
        <v>0</v>
      </c>
      <c r="BQ249">
        <v>160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3</v>
      </c>
      <c r="BZ249">
        <v>0</v>
      </c>
      <c r="CA249">
        <v>0</v>
      </c>
      <c r="CE249">
        <v>30</v>
      </c>
      <c r="CF249">
        <v>0</v>
      </c>
      <c r="CG249">
        <v>0</v>
      </c>
      <c r="CM249">
        <v>0</v>
      </c>
      <c r="CN249" t="s">
        <v>253</v>
      </c>
      <c r="CO249">
        <v>0</v>
      </c>
      <c r="CP249">
        <f t="shared" si="234"/>
        <v>0</v>
      </c>
      <c r="CQ249">
        <f t="shared" si="235"/>
        <v>0</v>
      </c>
      <c r="CR249">
        <f>(ROUND((ROUND(((ET249)*AV249*1),2)*BB249),2)+ROUND((ROUND(((AE249-(EU249))*AV249*1),2)*BS249),2))</f>
        <v>0</v>
      </c>
      <c r="CS249">
        <f t="shared" si="236"/>
        <v>0</v>
      </c>
      <c r="CT249">
        <f t="shared" si="237"/>
        <v>0</v>
      </c>
      <c r="CU249">
        <f t="shared" si="238"/>
        <v>0</v>
      </c>
      <c r="CV249">
        <f t="shared" si="239"/>
        <v>0</v>
      </c>
      <c r="CW249">
        <f t="shared" si="240"/>
        <v>0</v>
      </c>
      <c r="CX249">
        <f t="shared" si="241"/>
        <v>0</v>
      </c>
      <c r="CY249">
        <f t="shared" si="242"/>
        <v>0</v>
      </c>
      <c r="CZ249">
        <f t="shared" si="243"/>
        <v>0</v>
      </c>
      <c r="DC249" t="s">
        <v>3</v>
      </c>
      <c r="DD249" t="s">
        <v>3</v>
      </c>
      <c r="DE249" t="s">
        <v>3</v>
      </c>
      <c r="DF249" t="s">
        <v>3</v>
      </c>
      <c r="DG249" t="s">
        <v>3</v>
      </c>
      <c r="DH249" t="s">
        <v>3</v>
      </c>
      <c r="DI249" t="s">
        <v>3</v>
      </c>
      <c r="DJ249" t="s">
        <v>3</v>
      </c>
      <c r="DK249" t="s">
        <v>3</v>
      </c>
      <c r="DL249" t="s">
        <v>3</v>
      </c>
      <c r="DM249" t="s">
        <v>3</v>
      </c>
      <c r="DN249">
        <v>0</v>
      </c>
      <c r="DO249">
        <v>0</v>
      </c>
      <c r="DP249">
        <v>1</v>
      </c>
      <c r="DQ249">
        <v>1</v>
      </c>
      <c r="DU249">
        <v>1009</v>
      </c>
      <c r="DV249" t="s">
        <v>29</v>
      </c>
      <c r="DW249" t="s">
        <v>29</v>
      </c>
      <c r="DX249">
        <v>1000</v>
      </c>
      <c r="EE249">
        <v>298189190</v>
      </c>
      <c r="EF249">
        <v>160</v>
      </c>
      <c r="EG249" t="s">
        <v>23</v>
      </c>
      <c r="EH249">
        <v>0</v>
      </c>
      <c r="EI249" t="s">
        <v>3</v>
      </c>
      <c r="EJ249">
        <v>1</v>
      </c>
      <c r="EK249">
        <v>1114</v>
      </c>
      <c r="EL249" t="s">
        <v>24</v>
      </c>
      <c r="EM249" t="s">
        <v>25</v>
      </c>
      <c r="EO249" t="s">
        <v>3</v>
      </c>
      <c r="EQ249">
        <v>512</v>
      </c>
      <c r="ER249">
        <v>0</v>
      </c>
      <c r="ES249">
        <v>0</v>
      </c>
      <c r="ET249">
        <v>0</v>
      </c>
      <c r="EU249">
        <v>0</v>
      </c>
      <c r="EV249">
        <v>0</v>
      </c>
      <c r="EW249">
        <v>0</v>
      </c>
      <c r="EX249">
        <v>0</v>
      </c>
      <c r="FQ249">
        <v>0</v>
      </c>
      <c r="FR249">
        <f t="shared" si="244"/>
        <v>0</v>
      </c>
      <c r="FS249">
        <v>0</v>
      </c>
      <c r="FX249">
        <v>0</v>
      </c>
      <c r="FY249">
        <v>0</v>
      </c>
      <c r="GA249" t="s">
        <v>3</v>
      </c>
      <c r="GD249">
        <v>0</v>
      </c>
      <c r="GF249">
        <v>1489638031</v>
      </c>
      <c r="GG249">
        <v>2</v>
      </c>
      <c r="GH249">
        <v>1</v>
      </c>
      <c r="GI249">
        <v>-2</v>
      </c>
      <c r="GJ249">
        <v>0</v>
      </c>
      <c r="GK249">
        <f>ROUND(R249*(R12)/100,2)</f>
        <v>0</v>
      </c>
      <c r="GL249">
        <f t="shared" si="245"/>
        <v>0</v>
      </c>
      <c r="GM249">
        <f>ROUND(O249+X249+Y249+GK249,2)+GX249</f>
        <v>0</v>
      </c>
      <c r="GN249">
        <f>IF(OR(BI249=0,BI249=1),ROUND(O249+X249+Y249+GK249,2),0)</f>
        <v>0</v>
      </c>
      <c r="GO249">
        <f>IF(BI249=2,ROUND(O249+X249+Y249+GK249,2),0)</f>
        <v>0</v>
      </c>
      <c r="GP249">
        <f>IF(BI249=4,ROUND(O249+X249+Y249+GK249,2)+GX249,0)</f>
        <v>0</v>
      </c>
      <c r="GR249">
        <v>0</v>
      </c>
      <c r="GS249">
        <v>3</v>
      </c>
      <c r="GT249">
        <v>0</v>
      </c>
      <c r="GU249" t="s">
        <v>3</v>
      </c>
      <c r="GV249">
        <f t="shared" si="246"/>
        <v>0</v>
      </c>
      <c r="GW249">
        <v>1</v>
      </c>
      <c r="GX249">
        <f t="shared" si="247"/>
        <v>0</v>
      </c>
      <c r="HA249">
        <v>0</v>
      </c>
      <c r="HB249">
        <v>0</v>
      </c>
      <c r="HC249">
        <f t="shared" si="248"/>
        <v>0</v>
      </c>
      <c r="IK249">
        <v>0</v>
      </c>
    </row>
    <row r="250" spans="1:245" x14ac:dyDescent="0.2">
      <c r="A250">
        <v>18</v>
      </c>
      <c r="B250">
        <v>1</v>
      </c>
      <c r="C250">
        <v>89</v>
      </c>
      <c r="E250" t="s">
        <v>257</v>
      </c>
      <c r="F250" t="s">
        <v>31</v>
      </c>
      <c r="G250" t="s">
        <v>32</v>
      </c>
      <c r="H250" t="s">
        <v>33</v>
      </c>
      <c r="I250">
        <f>I248*J250</f>
        <v>33.549860000000002</v>
      </c>
      <c r="J250">
        <v>16.774930000000001</v>
      </c>
      <c r="O250">
        <f t="shared" si="223"/>
        <v>0</v>
      </c>
      <c r="P250">
        <f t="shared" si="224"/>
        <v>0</v>
      </c>
      <c r="Q250">
        <f>(ROUND((ROUND(((ET250)*AV250*I250),2)*BB250),2)+ROUND((ROUND(((AE250-(EU250))*AV250*I250),2)*BS250),2))</f>
        <v>0</v>
      </c>
      <c r="R250">
        <f t="shared" si="225"/>
        <v>0</v>
      </c>
      <c r="S250">
        <f>ROUND((ROUND((AF250*AV250*I250),2)*BA250),2)</f>
        <v>0</v>
      </c>
      <c r="T250">
        <f t="shared" si="226"/>
        <v>0</v>
      </c>
      <c r="U250">
        <f t="shared" si="227"/>
        <v>0</v>
      </c>
      <c r="V250">
        <f t="shared" si="228"/>
        <v>0</v>
      </c>
      <c r="W250">
        <f t="shared" si="229"/>
        <v>0</v>
      </c>
      <c r="X250">
        <f t="shared" si="230"/>
        <v>0</v>
      </c>
      <c r="Y250">
        <f t="shared" si="231"/>
        <v>0</v>
      </c>
      <c r="AA250">
        <v>309315610</v>
      </c>
      <c r="AB250">
        <f>ROUND((AC250+AD250+AF250),6)</f>
        <v>0</v>
      </c>
      <c r="AC250">
        <f t="shared" si="249"/>
        <v>0</v>
      </c>
      <c r="AD250">
        <f>ROUND((((ET250)-(EU250))+AE250),6)</f>
        <v>0</v>
      </c>
      <c r="AE250">
        <f>ROUND((EU250),6)</f>
        <v>0</v>
      </c>
      <c r="AF250">
        <f>ROUND((EV250),6)</f>
        <v>0</v>
      </c>
      <c r="AG250">
        <f t="shared" si="232"/>
        <v>0</v>
      </c>
      <c r="AH250">
        <f>(EW250)</f>
        <v>0</v>
      </c>
      <c r="AI250">
        <f>(EX250)</f>
        <v>0</v>
      </c>
      <c r="AJ250">
        <f t="shared" si="233"/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3</v>
      </c>
      <c r="BE250" t="s">
        <v>3</v>
      </c>
      <c r="BF250" t="s">
        <v>3</v>
      </c>
      <c r="BG250" t="s">
        <v>3</v>
      </c>
      <c r="BH250">
        <v>3</v>
      </c>
      <c r="BI250">
        <v>1</v>
      </c>
      <c r="BJ250" t="s">
        <v>3</v>
      </c>
      <c r="BM250">
        <v>1114</v>
      </c>
      <c r="BN250">
        <v>0</v>
      </c>
      <c r="BO250" t="s">
        <v>3</v>
      </c>
      <c r="BP250">
        <v>0</v>
      </c>
      <c r="BQ250">
        <v>160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3</v>
      </c>
      <c r="BZ250">
        <v>0</v>
      </c>
      <c r="CA250">
        <v>0</v>
      </c>
      <c r="CE250">
        <v>30</v>
      </c>
      <c r="CF250">
        <v>0</v>
      </c>
      <c r="CG250">
        <v>0</v>
      </c>
      <c r="CM250">
        <v>0</v>
      </c>
      <c r="CN250" t="s">
        <v>253</v>
      </c>
      <c r="CO250">
        <v>0</v>
      </c>
      <c r="CP250">
        <f t="shared" si="234"/>
        <v>0</v>
      </c>
      <c r="CQ250">
        <f t="shared" si="235"/>
        <v>0</v>
      </c>
      <c r="CR250">
        <f>(ROUND((ROUND(((ET250)*AV250*1),2)*BB250),2)+ROUND((ROUND(((AE250-(EU250))*AV250*1),2)*BS250),2))</f>
        <v>0</v>
      </c>
      <c r="CS250">
        <f t="shared" si="236"/>
        <v>0</v>
      </c>
      <c r="CT250">
        <f t="shared" si="237"/>
        <v>0</v>
      </c>
      <c r="CU250">
        <f t="shared" si="238"/>
        <v>0</v>
      </c>
      <c r="CV250">
        <f t="shared" si="239"/>
        <v>0</v>
      </c>
      <c r="CW250">
        <f t="shared" si="240"/>
        <v>0</v>
      </c>
      <c r="CX250">
        <f t="shared" si="241"/>
        <v>0</v>
      </c>
      <c r="CY250">
        <f t="shared" si="242"/>
        <v>0</v>
      </c>
      <c r="CZ250">
        <f t="shared" si="243"/>
        <v>0</v>
      </c>
      <c r="DC250" t="s">
        <v>3</v>
      </c>
      <c r="DD250" t="s">
        <v>3</v>
      </c>
      <c r="DE250" t="s">
        <v>3</v>
      </c>
      <c r="DF250" t="s">
        <v>3</v>
      </c>
      <c r="DG250" t="s">
        <v>3</v>
      </c>
      <c r="DH250" t="s">
        <v>3</v>
      </c>
      <c r="DI250" t="s">
        <v>3</v>
      </c>
      <c r="DJ250" t="s">
        <v>3</v>
      </c>
      <c r="DK250" t="s">
        <v>3</v>
      </c>
      <c r="DL250" t="s">
        <v>3</v>
      </c>
      <c r="DM250" t="s">
        <v>3</v>
      </c>
      <c r="DN250">
        <v>0</v>
      </c>
      <c r="DO250">
        <v>0</v>
      </c>
      <c r="DP250">
        <v>1</v>
      </c>
      <c r="DQ250">
        <v>1</v>
      </c>
      <c r="DU250">
        <v>1007</v>
      </c>
      <c r="DV250" t="s">
        <v>33</v>
      </c>
      <c r="DW250" t="s">
        <v>33</v>
      </c>
      <c r="DX250">
        <v>1</v>
      </c>
      <c r="EE250">
        <v>298189190</v>
      </c>
      <c r="EF250">
        <v>160</v>
      </c>
      <c r="EG250" t="s">
        <v>23</v>
      </c>
      <c r="EH250">
        <v>0</v>
      </c>
      <c r="EI250" t="s">
        <v>3</v>
      </c>
      <c r="EJ250">
        <v>1</v>
      </c>
      <c r="EK250">
        <v>1114</v>
      </c>
      <c r="EL250" t="s">
        <v>24</v>
      </c>
      <c r="EM250" t="s">
        <v>25</v>
      </c>
      <c r="EO250" t="s">
        <v>3</v>
      </c>
      <c r="EQ250">
        <v>512</v>
      </c>
      <c r="ER250">
        <v>0</v>
      </c>
      <c r="ES250">
        <v>0</v>
      </c>
      <c r="ET250">
        <v>0</v>
      </c>
      <c r="EU250">
        <v>0</v>
      </c>
      <c r="EV250">
        <v>0</v>
      </c>
      <c r="EW250">
        <v>0</v>
      </c>
      <c r="EX250">
        <v>0</v>
      </c>
      <c r="FQ250">
        <v>0</v>
      </c>
      <c r="FR250">
        <f t="shared" si="244"/>
        <v>0</v>
      </c>
      <c r="FS250">
        <v>0</v>
      </c>
      <c r="FX250">
        <v>0</v>
      </c>
      <c r="FY250">
        <v>0</v>
      </c>
      <c r="GA250" t="s">
        <v>3</v>
      </c>
      <c r="GD250">
        <v>0</v>
      </c>
      <c r="GF250">
        <v>179728826</v>
      </c>
      <c r="GG250">
        <v>2</v>
      </c>
      <c r="GH250">
        <v>1</v>
      </c>
      <c r="GI250">
        <v>-2</v>
      </c>
      <c r="GJ250">
        <v>0</v>
      </c>
      <c r="GK250">
        <f>ROUND(R250*(R12)/100,2)</f>
        <v>0</v>
      </c>
      <c r="GL250">
        <f t="shared" si="245"/>
        <v>0</v>
      </c>
      <c r="GM250">
        <f>ROUND(O250+X250+Y250+GK250,2)+GX250</f>
        <v>0</v>
      </c>
      <c r="GN250">
        <f>IF(OR(BI250=0,BI250=1),ROUND(O250+X250+Y250+GK250,2),0)</f>
        <v>0</v>
      </c>
      <c r="GO250">
        <f>IF(BI250=2,ROUND(O250+X250+Y250+GK250,2),0)</f>
        <v>0</v>
      </c>
      <c r="GP250">
        <f>IF(BI250=4,ROUND(O250+X250+Y250+GK250,2)+GX250,0)</f>
        <v>0</v>
      </c>
      <c r="GR250">
        <v>0</v>
      </c>
      <c r="GS250">
        <v>3</v>
      </c>
      <c r="GT250">
        <v>0</v>
      </c>
      <c r="GU250" t="s">
        <v>3</v>
      </c>
      <c r="GV250">
        <f t="shared" si="246"/>
        <v>0</v>
      </c>
      <c r="GW250">
        <v>1</v>
      </c>
      <c r="GX250">
        <f t="shared" si="247"/>
        <v>0</v>
      </c>
      <c r="HA250">
        <v>0</v>
      </c>
      <c r="HB250">
        <v>0</v>
      </c>
      <c r="HC250">
        <f t="shared" si="248"/>
        <v>0</v>
      </c>
      <c r="IK250">
        <v>0</v>
      </c>
    </row>
    <row r="251" spans="1:245" x14ac:dyDescent="0.2">
      <c r="A251">
        <v>17</v>
      </c>
      <c r="B251">
        <v>1</v>
      </c>
      <c r="C251">
        <f>ROW(SmtRes!A91)</f>
        <v>91</v>
      </c>
      <c r="D251">
        <f>ROW(EtalonRes!A89)</f>
        <v>89</v>
      </c>
      <c r="E251" t="s">
        <v>258</v>
      </c>
      <c r="F251" t="s">
        <v>176</v>
      </c>
      <c r="G251" t="s">
        <v>177</v>
      </c>
      <c r="H251" t="s">
        <v>178</v>
      </c>
      <c r="I251">
        <v>2</v>
      </c>
      <c r="J251">
        <v>0</v>
      </c>
      <c r="O251">
        <f t="shared" si="223"/>
        <v>283549.03999999998</v>
      </c>
      <c r="P251">
        <f t="shared" si="224"/>
        <v>283549.03999999998</v>
      </c>
      <c r="Q251">
        <f>0</f>
        <v>0</v>
      </c>
      <c r="R251">
        <f t="shared" si="225"/>
        <v>0</v>
      </c>
      <c r="S251">
        <f>0</f>
        <v>0</v>
      </c>
      <c r="T251">
        <f t="shared" si="226"/>
        <v>0</v>
      </c>
      <c r="U251">
        <f t="shared" si="227"/>
        <v>0</v>
      </c>
      <c r="V251">
        <f t="shared" si="228"/>
        <v>0</v>
      </c>
      <c r="W251">
        <f t="shared" si="229"/>
        <v>0</v>
      </c>
      <c r="X251">
        <f t="shared" si="230"/>
        <v>0</v>
      </c>
      <c r="Y251">
        <f t="shared" si="231"/>
        <v>0</v>
      </c>
      <c r="AA251">
        <v>309315610</v>
      </c>
      <c r="AB251">
        <f>ROUND((AC251+0+0),6)</f>
        <v>27212</v>
      </c>
      <c r="AC251">
        <f t="shared" si="249"/>
        <v>27212</v>
      </c>
      <c r="AD251">
        <f>ROUND(((((ET251*1.15))-((EU251*1.15)))+AE251),6)</f>
        <v>5770.7</v>
      </c>
      <c r="AE251">
        <f>ROUND(((EU251*1.15)),6)</f>
        <v>0</v>
      </c>
      <c r="AF251">
        <f>ROUND(((EV251*1.15)),6)</f>
        <v>8629.6</v>
      </c>
      <c r="AG251">
        <f t="shared" si="232"/>
        <v>0</v>
      </c>
      <c r="AH251">
        <f>((EW251*1.15))</f>
        <v>0</v>
      </c>
      <c r="AI251">
        <f>((EX251*1.15))</f>
        <v>0</v>
      </c>
      <c r="AJ251">
        <f t="shared" si="233"/>
        <v>0</v>
      </c>
      <c r="AK251">
        <v>39734</v>
      </c>
      <c r="AL251">
        <v>27212</v>
      </c>
      <c r="AM251">
        <v>5018</v>
      </c>
      <c r="AN251">
        <v>0</v>
      </c>
      <c r="AO251">
        <v>7504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1</v>
      </c>
      <c r="AW251">
        <v>1</v>
      </c>
      <c r="AZ251">
        <v>1</v>
      </c>
      <c r="BA251">
        <v>16.93</v>
      </c>
      <c r="BB251">
        <v>10.65</v>
      </c>
      <c r="BC251">
        <v>5.21</v>
      </c>
      <c r="BD251" t="s">
        <v>3</v>
      </c>
      <c r="BE251" t="s">
        <v>3</v>
      </c>
      <c r="BF251" t="s">
        <v>3</v>
      </c>
      <c r="BG251" t="s">
        <v>3</v>
      </c>
      <c r="BH251">
        <v>0</v>
      </c>
      <c r="BI251">
        <v>1</v>
      </c>
      <c r="BJ251" t="s">
        <v>179</v>
      </c>
      <c r="BM251">
        <v>1114</v>
      </c>
      <c r="BN251">
        <v>0</v>
      </c>
      <c r="BO251" t="s">
        <v>176</v>
      </c>
      <c r="BP251">
        <v>1</v>
      </c>
      <c r="BQ251">
        <v>160</v>
      </c>
      <c r="BR251">
        <v>0</v>
      </c>
      <c r="BS251">
        <v>16.93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3</v>
      </c>
      <c r="BZ251">
        <v>0</v>
      </c>
      <c r="CA251">
        <v>0</v>
      </c>
      <c r="CE251">
        <v>30</v>
      </c>
      <c r="CF251">
        <v>0</v>
      </c>
      <c r="CG251">
        <v>0</v>
      </c>
      <c r="CM251">
        <v>0</v>
      </c>
      <c r="CN251" t="s">
        <v>259</v>
      </c>
      <c r="CO251">
        <v>0</v>
      </c>
      <c r="CP251">
        <f t="shared" si="234"/>
        <v>283549.03999999998</v>
      </c>
      <c r="CQ251">
        <f t="shared" si="235"/>
        <v>141774.51999999999</v>
      </c>
      <c r="CR251">
        <f>(ROUND((ROUND((((ET251*1.15))*AV251*1),2)*BB251),2)+ROUND((ROUND(((AE251-((EU251*1.15)))*AV251*1),2)*BS251),2))</f>
        <v>61457.96</v>
      </c>
      <c r="CS251">
        <f t="shared" si="236"/>
        <v>0</v>
      </c>
      <c r="CT251">
        <f t="shared" si="237"/>
        <v>146099.13</v>
      </c>
      <c r="CU251">
        <f t="shared" si="238"/>
        <v>0</v>
      </c>
      <c r="CV251">
        <f t="shared" si="239"/>
        <v>0</v>
      </c>
      <c r="CW251">
        <f t="shared" si="240"/>
        <v>0</v>
      </c>
      <c r="CX251">
        <f t="shared" si="241"/>
        <v>0</v>
      </c>
      <c r="CY251">
        <f t="shared" si="242"/>
        <v>0</v>
      </c>
      <c r="CZ251">
        <f t="shared" si="243"/>
        <v>0</v>
      </c>
      <c r="DC251" t="s">
        <v>3</v>
      </c>
      <c r="DD251" t="s">
        <v>3</v>
      </c>
      <c r="DE251" t="s">
        <v>39</v>
      </c>
      <c r="DF251" t="s">
        <v>39</v>
      </c>
      <c r="DG251" t="s">
        <v>39</v>
      </c>
      <c r="DH251" t="s">
        <v>3</v>
      </c>
      <c r="DI251" t="s">
        <v>39</v>
      </c>
      <c r="DJ251" t="s">
        <v>39</v>
      </c>
      <c r="DK251" t="s">
        <v>3</v>
      </c>
      <c r="DL251" t="s">
        <v>3</v>
      </c>
      <c r="DM251" t="s">
        <v>3</v>
      </c>
      <c r="DN251">
        <v>0</v>
      </c>
      <c r="DO251">
        <v>0</v>
      </c>
      <c r="DP251">
        <v>1</v>
      </c>
      <c r="DQ251">
        <v>1</v>
      </c>
      <c r="DU251">
        <v>1013</v>
      </c>
      <c r="DV251" t="s">
        <v>178</v>
      </c>
      <c r="DW251" t="s">
        <v>178</v>
      </c>
      <c r="DX251">
        <v>1</v>
      </c>
      <c r="EE251">
        <v>298189190</v>
      </c>
      <c r="EF251">
        <v>160</v>
      </c>
      <c r="EG251" t="s">
        <v>23</v>
      </c>
      <c r="EH251">
        <v>0</v>
      </c>
      <c r="EI251" t="s">
        <v>3</v>
      </c>
      <c r="EJ251">
        <v>1</v>
      </c>
      <c r="EK251">
        <v>1114</v>
      </c>
      <c r="EL251" t="s">
        <v>24</v>
      </c>
      <c r="EM251" t="s">
        <v>25</v>
      </c>
      <c r="EO251" t="s">
        <v>3</v>
      </c>
      <c r="EQ251">
        <v>512</v>
      </c>
      <c r="ER251">
        <v>39734</v>
      </c>
      <c r="ES251">
        <v>27212</v>
      </c>
      <c r="ET251">
        <v>5018</v>
      </c>
      <c r="EU251">
        <v>0</v>
      </c>
      <c r="EV251">
        <v>7504</v>
      </c>
      <c r="EW251">
        <v>0</v>
      </c>
      <c r="EX251">
        <v>0</v>
      </c>
      <c r="EY251">
        <v>0</v>
      </c>
      <c r="FQ251">
        <v>0</v>
      </c>
      <c r="FR251">
        <f t="shared" si="244"/>
        <v>0</v>
      </c>
      <c r="FS251">
        <v>0</v>
      </c>
      <c r="FX251">
        <v>0</v>
      </c>
      <c r="FY251">
        <v>0</v>
      </c>
      <c r="GA251" t="s">
        <v>3</v>
      </c>
      <c r="GD251">
        <v>1</v>
      </c>
      <c r="GF251">
        <v>1075185797</v>
      </c>
      <c r="GG251">
        <v>2</v>
      </c>
      <c r="GH251">
        <v>1</v>
      </c>
      <c r="GI251">
        <v>2</v>
      </c>
      <c r="GJ251">
        <v>3</v>
      </c>
      <c r="GK251">
        <v>0</v>
      </c>
      <c r="GL251">
        <f t="shared" si="245"/>
        <v>0</v>
      </c>
      <c r="GM251">
        <f>ROUND(P251+GY251+GZ251,2)+GX251</f>
        <v>698663.21</v>
      </c>
      <c r="GN251">
        <f>IF(OR(BI251=0,BI251=1),ROUND(P251+GY251+GZ251,2),0)</f>
        <v>698663.21</v>
      </c>
      <c r="GO251">
        <f>IF(BI251=2,ROUND(P251+GY251+GZ251,2),0)</f>
        <v>0</v>
      </c>
      <c r="GP251">
        <f>IF(BI251=4,ROUND(P251+GY251+GZ251,2)+GX251,0)</f>
        <v>0</v>
      </c>
      <c r="GR251">
        <v>0</v>
      </c>
      <c r="GS251">
        <v>3</v>
      </c>
      <c r="GT251">
        <v>0</v>
      </c>
      <c r="GU251" t="s">
        <v>3</v>
      </c>
      <c r="GV251">
        <f t="shared" si="246"/>
        <v>0</v>
      </c>
      <c r="GW251">
        <v>1</v>
      </c>
      <c r="GX251">
        <f t="shared" si="247"/>
        <v>0</v>
      </c>
      <c r="GY251">
        <f>(ROUND((ROUND((((ET251*1.15))*AV251*I251),2)*BB251),2)+ROUND((ROUND(((AE251-((EU251*1.15)))*AV251*I251),2)*BS251),2))</f>
        <v>122915.91</v>
      </c>
      <c r="GZ251">
        <f>ROUND((ROUND((AF251*AV251*I251),2)*BA251),2)</f>
        <v>292198.26</v>
      </c>
      <c r="HA251">
        <v>0</v>
      </c>
      <c r="HB251">
        <v>0</v>
      </c>
      <c r="HC251">
        <f t="shared" si="248"/>
        <v>0</v>
      </c>
      <c r="IK251">
        <v>0</v>
      </c>
    </row>
    <row r="252" spans="1:245" x14ac:dyDescent="0.2">
      <c r="A252">
        <v>18</v>
      </c>
      <c r="B252">
        <v>1</v>
      </c>
      <c r="C252">
        <v>91</v>
      </c>
      <c r="E252" t="s">
        <v>260</v>
      </c>
      <c r="F252" t="s">
        <v>261</v>
      </c>
      <c r="G252" t="s">
        <v>262</v>
      </c>
      <c r="H252" t="s">
        <v>263</v>
      </c>
      <c r="I252">
        <f>I251*J252</f>
        <v>4</v>
      </c>
      <c r="J252">
        <v>2</v>
      </c>
      <c r="O252">
        <f t="shared" si="223"/>
        <v>963789.24</v>
      </c>
      <c r="P252">
        <f t="shared" si="224"/>
        <v>963789.24</v>
      </c>
      <c r="Q252">
        <f>(ROUND((ROUND(((ET252)*AV252*I252),2)*BB252),2)+ROUND((ROUND(((AE252-(EU252))*AV252*I252),2)*BS252),2))</f>
        <v>0</v>
      </c>
      <c r="R252">
        <f t="shared" si="225"/>
        <v>0</v>
      </c>
      <c r="S252">
        <f>ROUND((ROUND((AF252*AV252*I252),2)*BA252),2)</f>
        <v>0</v>
      </c>
      <c r="T252">
        <f t="shared" si="226"/>
        <v>0</v>
      </c>
      <c r="U252">
        <f t="shared" si="227"/>
        <v>0</v>
      </c>
      <c r="V252">
        <f t="shared" si="228"/>
        <v>0</v>
      </c>
      <c r="W252">
        <f t="shared" si="229"/>
        <v>0</v>
      </c>
      <c r="X252">
        <f t="shared" si="230"/>
        <v>0</v>
      </c>
      <c r="Y252">
        <f t="shared" si="231"/>
        <v>0</v>
      </c>
      <c r="AA252">
        <v>309315610</v>
      </c>
      <c r="AB252">
        <f>ROUND((AC252+AD252+AF252),6)</f>
        <v>55646.03</v>
      </c>
      <c r="AC252">
        <f t="shared" si="249"/>
        <v>55646.03</v>
      </c>
      <c r="AD252">
        <f>ROUND((((ET252)-(EU252))+AE252),6)</f>
        <v>0</v>
      </c>
      <c r="AE252">
        <f>ROUND((EU252),6)</f>
        <v>0</v>
      </c>
      <c r="AF252">
        <f>ROUND((EV252),6)</f>
        <v>0</v>
      </c>
      <c r="AG252">
        <f t="shared" si="232"/>
        <v>0</v>
      </c>
      <c r="AH252">
        <f>(EW252)</f>
        <v>0</v>
      </c>
      <c r="AI252">
        <f>(EX252)</f>
        <v>0</v>
      </c>
      <c r="AJ252">
        <f t="shared" si="233"/>
        <v>0</v>
      </c>
      <c r="AK252">
        <v>55646.030000000006</v>
      </c>
      <c r="AL252">
        <v>55646.030000000006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4.33</v>
      </c>
      <c r="BD252" t="s">
        <v>3</v>
      </c>
      <c r="BE252" t="s">
        <v>3</v>
      </c>
      <c r="BF252" t="s">
        <v>3</v>
      </c>
      <c r="BG252" t="s">
        <v>3</v>
      </c>
      <c r="BH252">
        <v>3</v>
      </c>
      <c r="BI252">
        <v>3</v>
      </c>
      <c r="BJ252" t="s">
        <v>3</v>
      </c>
      <c r="BM252">
        <v>746</v>
      </c>
      <c r="BN252">
        <v>0</v>
      </c>
      <c r="BO252" t="s">
        <v>3</v>
      </c>
      <c r="BP252">
        <v>0</v>
      </c>
      <c r="BQ252">
        <v>130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3</v>
      </c>
      <c r="BZ252">
        <v>0</v>
      </c>
      <c r="CA252">
        <v>0</v>
      </c>
      <c r="CE252">
        <v>30</v>
      </c>
      <c r="CF252">
        <v>0</v>
      </c>
      <c r="CG252">
        <v>0</v>
      </c>
      <c r="CM252">
        <v>0</v>
      </c>
      <c r="CN252" t="s">
        <v>3</v>
      </c>
      <c r="CO252">
        <v>0</v>
      </c>
      <c r="CP252">
        <f t="shared" si="234"/>
        <v>963789.24</v>
      </c>
      <c r="CQ252">
        <f t="shared" si="235"/>
        <v>240947.31</v>
      </c>
      <c r="CR252">
        <f>(ROUND((ROUND(((ET252)*AV252*1),2)*BB252),2)+ROUND((ROUND(((AE252-(EU252))*AV252*1),2)*BS252),2))</f>
        <v>0</v>
      </c>
      <c r="CS252">
        <f t="shared" si="236"/>
        <v>0</v>
      </c>
      <c r="CT252">
        <f t="shared" si="237"/>
        <v>0</v>
      </c>
      <c r="CU252">
        <f t="shared" si="238"/>
        <v>0</v>
      </c>
      <c r="CV252">
        <f t="shared" si="239"/>
        <v>0</v>
      </c>
      <c r="CW252">
        <f t="shared" si="240"/>
        <v>0</v>
      </c>
      <c r="CX252">
        <f t="shared" si="241"/>
        <v>0</v>
      </c>
      <c r="CY252">
        <f t="shared" si="242"/>
        <v>0</v>
      </c>
      <c r="CZ252">
        <f t="shared" si="243"/>
        <v>0</v>
      </c>
      <c r="DC252" t="s">
        <v>3</v>
      </c>
      <c r="DD252" t="s">
        <v>3</v>
      </c>
      <c r="DE252" t="s">
        <v>3</v>
      </c>
      <c r="DF252" t="s">
        <v>3</v>
      </c>
      <c r="DG252" t="s">
        <v>3</v>
      </c>
      <c r="DH252" t="s">
        <v>3</v>
      </c>
      <c r="DI252" t="s">
        <v>3</v>
      </c>
      <c r="DJ252" t="s">
        <v>3</v>
      </c>
      <c r="DK252" t="s">
        <v>3</v>
      </c>
      <c r="DL252" t="s">
        <v>3</v>
      </c>
      <c r="DM252" t="s">
        <v>3</v>
      </c>
      <c r="DN252">
        <v>0</v>
      </c>
      <c r="DO252">
        <v>0</v>
      </c>
      <c r="DP252">
        <v>1</v>
      </c>
      <c r="DQ252">
        <v>1</v>
      </c>
      <c r="DU252">
        <v>16987630</v>
      </c>
      <c r="DV252" t="s">
        <v>263</v>
      </c>
      <c r="DW252" t="s">
        <v>264</v>
      </c>
      <c r="DX252">
        <v>1</v>
      </c>
      <c r="EE252">
        <v>298188822</v>
      </c>
      <c r="EF252">
        <v>130</v>
      </c>
      <c r="EG252" t="s">
        <v>265</v>
      </c>
      <c r="EH252">
        <v>0</v>
      </c>
      <c r="EI252" t="s">
        <v>3</v>
      </c>
      <c r="EJ252">
        <v>3</v>
      </c>
      <c r="EK252">
        <v>746</v>
      </c>
      <c r="EL252" t="s">
        <v>266</v>
      </c>
      <c r="EM252" t="s">
        <v>267</v>
      </c>
      <c r="EO252" t="s">
        <v>3</v>
      </c>
      <c r="EQ252">
        <v>768</v>
      </c>
      <c r="ER252">
        <v>55646.030000000006</v>
      </c>
      <c r="ES252">
        <v>55646.030000000006</v>
      </c>
      <c r="ET252">
        <v>0</v>
      </c>
      <c r="EU252">
        <v>0</v>
      </c>
      <c r="EV252">
        <v>0</v>
      </c>
      <c r="EW252">
        <v>0</v>
      </c>
      <c r="EX252">
        <v>0</v>
      </c>
      <c r="EZ252">
        <v>5</v>
      </c>
      <c r="FC252">
        <v>0</v>
      </c>
      <c r="FD252">
        <v>18</v>
      </c>
      <c r="FF252">
        <v>171898.6</v>
      </c>
      <c r="FQ252">
        <v>0</v>
      </c>
      <c r="FR252">
        <f t="shared" si="244"/>
        <v>963789.24</v>
      </c>
      <c r="FS252">
        <v>0</v>
      </c>
      <c r="FX252">
        <v>0</v>
      </c>
      <c r="FY252">
        <v>0</v>
      </c>
      <c r="GA252" t="s">
        <v>268</v>
      </c>
      <c r="GD252">
        <v>0</v>
      </c>
      <c r="GF252">
        <v>-1219183663</v>
      </c>
      <c r="GG252">
        <v>2</v>
      </c>
      <c r="GH252">
        <v>3</v>
      </c>
      <c r="GI252">
        <v>3</v>
      </c>
      <c r="GJ252">
        <v>0</v>
      </c>
      <c r="GK252">
        <f>ROUND(R252*(R12)/100,2)</f>
        <v>0</v>
      </c>
      <c r="GL252">
        <f t="shared" si="245"/>
        <v>0</v>
      </c>
      <c r="GM252">
        <f>ROUND(O252+X252+Y252+GK252,2)+GX252</f>
        <v>963789.24</v>
      </c>
      <c r="GN252">
        <f>IF(OR(BI252=0,BI252=1),ROUND(O252+X252+Y252+GK252,2),0)</f>
        <v>0</v>
      </c>
      <c r="GO252">
        <f>IF(BI252=2,ROUND(O252+X252+Y252+GK252,2),0)</f>
        <v>0</v>
      </c>
      <c r="GP252">
        <f>IF(BI252=4,ROUND(O252+X252+Y252+GK252,2)+GX252,0)</f>
        <v>0</v>
      </c>
      <c r="GR252">
        <v>1</v>
      </c>
      <c r="GS252">
        <v>1</v>
      </c>
      <c r="GT252">
        <v>0</v>
      </c>
      <c r="GU252" t="s">
        <v>3</v>
      </c>
      <c r="GV252">
        <f t="shared" si="246"/>
        <v>0</v>
      </c>
      <c r="GW252">
        <v>1</v>
      </c>
      <c r="GX252">
        <f t="shared" si="247"/>
        <v>0</v>
      </c>
      <c r="HA252">
        <v>0</v>
      </c>
      <c r="HB252">
        <v>0</v>
      </c>
      <c r="HC252">
        <f t="shared" si="248"/>
        <v>0</v>
      </c>
      <c r="IK252">
        <v>0</v>
      </c>
    </row>
    <row r="253" spans="1:245" x14ac:dyDescent="0.2">
      <c r="A253">
        <v>17</v>
      </c>
      <c r="B253">
        <v>1</v>
      </c>
      <c r="C253">
        <f>ROW(SmtRes!A93)</f>
        <v>93</v>
      </c>
      <c r="D253">
        <f>ROW(EtalonRes!A91)</f>
        <v>91</v>
      </c>
      <c r="E253" t="s">
        <v>269</v>
      </c>
      <c r="F253" t="s">
        <v>35</v>
      </c>
      <c r="G253" t="s">
        <v>36</v>
      </c>
      <c r="H253" t="s">
        <v>37</v>
      </c>
      <c r="I253">
        <f>ROUND((3.2+3.2)*2*5*I248,4)</f>
        <v>128</v>
      </c>
      <c r="J253">
        <v>0</v>
      </c>
      <c r="O253">
        <f t="shared" si="223"/>
        <v>72952.320000000007</v>
      </c>
      <c r="P253">
        <f t="shared" si="224"/>
        <v>72952.320000000007</v>
      </c>
      <c r="Q253">
        <f>0</f>
        <v>0</v>
      </c>
      <c r="R253">
        <f t="shared" si="225"/>
        <v>0</v>
      </c>
      <c r="S253">
        <f>0</f>
        <v>0</v>
      </c>
      <c r="T253">
        <f t="shared" si="226"/>
        <v>0</v>
      </c>
      <c r="U253">
        <f t="shared" si="227"/>
        <v>0</v>
      </c>
      <c r="V253">
        <f t="shared" si="228"/>
        <v>0</v>
      </c>
      <c r="W253">
        <f t="shared" si="229"/>
        <v>0</v>
      </c>
      <c r="X253">
        <f t="shared" si="230"/>
        <v>0</v>
      </c>
      <c r="Y253">
        <f t="shared" si="231"/>
        <v>0</v>
      </c>
      <c r="AA253">
        <v>309315610</v>
      </c>
      <c r="AB253">
        <f>ROUND((AC253+0+0),6)</f>
        <v>69</v>
      </c>
      <c r="AC253">
        <f t="shared" si="249"/>
        <v>69</v>
      </c>
      <c r="AD253">
        <f>ROUND(((((ET253*1.15))-((EU253*1.15)))+AE253),6)</f>
        <v>34.5</v>
      </c>
      <c r="AE253">
        <f>ROUND(((EU253*1.15)),6)</f>
        <v>0</v>
      </c>
      <c r="AF253">
        <f>ROUND(((EV253*1.15)),6)</f>
        <v>47.15</v>
      </c>
      <c r="AG253">
        <f t="shared" si="232"/>
        <v>0</v>
      </c>
      <c r="AH253">
        <f>((EW253*1.15))</f>
        <v>0</v>
      </c>
      <c r="AI253">
        <f>((EX253*1.15))</f>
        <v>0</v>
      </c>
      <c r="AJ253">
        <f t="shared" si="233"/>
        <v>0</v>
      </c>
      <c r="AK253">
        <v>140</v>
      </c>
      <c r="AL253">
        <v>69</v>
      </c>
      <c r="AM253">
        <v>30</v>
      </c>
      <c r="AN253">
        <v>0</v>
      </c>
      <c r="AO253">
        <v>41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1</v>
      </c>
      <c r="AW253">
        <v>1</v>
      </c>
      <c r="AZ253">
        <v>1</v>
      </c>
      <c r="BA253">
        <v>18.899999999999999</v>
      </c>
      <c r="BB253">
        <v>7.73</v>
      </c>
      <c r="BC253">
        <v>8.26</v>
      </c>
      <c r="BD253" t="s">
        <v>3</v>
      </c>
      <c r="BE253" t="s">
        <v>3</v>
      </c>
      <c r="BF253" t="s">
        <v>3</v>
      </c>
      <c r="BG253" t="s">
        <v>3</v>
      </c>
      <c r="BH253">
        <v>0</v>
      </c>
      <c r="BI253">
        <v>1</v>
      </c>
      <c r="BJ253" t="s">
        <v>38</v>
      </c>
      <c r="BM253">
        <v>1114</v>
      </c>
      <c r="BN253">
        <v>0</v>
      </c>
      <c r="BO253" t="s">
        <v>35</v>
      </c>
      <c r="BP253">
        <v>1</v>
      </c>
      <c r="BQ253">
        <v>160</v>
      </c>
      <c r="BR253">
        <v>0</v>
      </c>
      <c r="BS253">
        <v>18.899999999999999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0</v>
      </c>
      <c r="CA253">
        <v>0</v>
      </c>
      <c r="CE253">
        <v>30</v>
      </c>
      <c r="CF253">
        <v>0</v>
      </c>
      <c r="CG253">
        <v>0</v>
      </c>
      <c r="CM253">
        <v>0</v>
      </c>
      <c r="CN253" t="s">
        <v>3</v>
      </c>
      <c r="CO253">
        <v>0</v>
      </c>
      <c r="CP253">
        <f t="shared" si="234"/>
        <v>72952.320000000007</v>
      </c>
      <c r="CQ253">
        <f t="shared" si="235"/>
        <v>569.94000000000005</v>
      </c>
      <c r="CR253">
        <f>(ROUND((ROUND((((ET253*1.15))*AV253*1),2)*BB253),2)+ROUND((ROUND(((AE253-((EU253*1.15)))*AV253*1),2)*BS253),2))</f>
        <v>266.69</v>
      </c>
      <c r="CS253">
        <f t="shared" si="236"/>
        <v>0</v>
      </c>
      <c r="CT253">
        <f t="shared" si="237"/>
        <v>891.14</v>
      </c>
      <c r="CU253">
        <f t="shared" si="238"/>
        <v>0</v>
      </c>
      <c r="CV253">
        <f t="shared" si="239"/>
        <v>0</v>
      </c>
      <c r="CW253">
        <f t="shared" si="240"/>
        <v>0</v>
      </c>
      <c r="CX253">
        <f t="shared" si="241"/>
        <v>0</v>
      </c>
      <c r="CY253">
        <f t="shared" si="242"/>
        <v>0</v>
      </c>
      <c r="CZ253">
        <f t="shared" si="243"/>
        <v>0</v>
      </c>
      <c r="DC253" t="s">
        <v>3</v>
      </c>
      <c r="DD253" t="s">
        <v>3</v>
      </c>
      <c r="DE253" t="s">
        <v>39</v>
      </c>
      <c r="DF253" t="s">
        <v>39</v>
      </c>
      <c r="DG253" t="s">
        <v>39</v>
      </c>
      <c r="DH253" t="s">
        <v>3</v>
      </c>
      <c r="DI253" t="s">
        <v>39</v>
      </c>
      <c r="DJ253" t="s">
        <v>39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1013</v>
      </c>
      <c r="DV253" t="s">
        <v>37</v>
      </c>
      <c r="DW253" t="s">
        <v>37</v>
      </c>
      <c r="DX253">
        <v>1</v>
      </c>
      <c r="EE253">
        <v>298189190</v>
      </c>
      <c r="EF253">
        <v>160</v>
      </c>
      <c r="EG253" t="s">
        <v>23</v>
      </c>
      <c r="EH253">
        <v>0</v>
      </c>
      <c r="EI253" t="s">
        <v>3</v>
      </c>
      <c r="EJ253">
        <v>1</v>
      </c>
      <c r="EK253">
        <v>1114</v>
      </c>
      <c r="EL253" t="s">
        <v>24</v>
      </c>
      <c r="EM253" t="s">
        <v>25</v>
      </c>
      <c r="EO253" t="s">
        <v>3</v>
      </c>
      <c r="EQ253">
        <v>0</v>
      </c>
      <c r="ER253">
        <v>140</v>
      </c>
      <c r="ES253">
        <v>69</v>
      </c>
      <c r="ET253">
        <v>30</v>
      </c>
      <c r="EU253">
        <v>0</v>
      </c>
      <c r="EV253">
        <v>41</v>
      </c>
      <c r="EW253">
        <v>0</v>
      </c>
      <c r="EX253">
        <v>0</v>
      </c>
      <c r="EY253">
        <v>1</v>
      </c>
      <c r="FQ253">
        <v>0</v>
      </c>
      <c r="FR253">
        <f t="shared" si="244"/>
        <v>0</v>
      </c>
      <c r="FS253">
        <v>0</v>
      </c>
      <c r="FX253">
        <v>0</v>
      </c>
      <c r="FY253">
        <v>0</v>
      </c>
      <c r="GA253" t="s">
        <v>3</v>
      </c>
      <c r="GD253">
        <v>1</v>
      </c>
      <c r="GF253">
        <v>-1502472745</v>
      </c>
      <c r="GG253">
        <v>2</v>
      </c>
      <c r="GH253">
        <v>1</v>
      </c>
      <c r="GI253">
        <v>2</v>
      </c>
      <c r="GJ253">
        <v>3</v>
      </c>
      <c r="GK253">
        <v>0</v>
      </c>
      <c r="GL253">
        <f t="shared" si="245"/>
        <v>0</v>
      </c>
      <c r="GM253">
        <f>ROUND(P253+GY253+GZ253,2)+GX253</f>
        <v>221153.28</v>
      </c>
      <c r="GN253">
        <f>IF(OR(BI253=0,BI253=1),ROUND(P253+GY253+GZ253,2),0)</f>
        <v>221153.28</v>
      </c>
      <c r="GO253">
        <f>IF(BI253=2,ROUND(P253+GY253+GZ253,2),0)</f>
        <v>0</v>
      </c>
      <c r="GP253">
        <f>IF(BI253=4,ROUND(P253+GY253+GZ253,2)+GX253,0)</f>
        <v>0</v>
      </c>
      <c r="GR253">
        <v>0</v>
      </c>
      <c r="GS253">
        <v>0</v>
      </c>
      <c r="GT253">
        <v>0</v>
      </c>
      <c r="GU253" t="s">
        <v>3</v>
      </c>
      <c r="GV253">
        <f t="shared" si="246"/>
        <v>0</v>
      </c>
      <c r="GW253">
        <v>1</v>
      </c>
      <c r="GX253">
        <f t="shared" si="247"/>
        <v>0</v>
      </c>
      <c r="GY253">
        <f>(ROUND((ROUND((((ET253*1.15))*AV253*I253),2)*BB253),2)+ROUND((ROUND(((AE253-((EU253*1.15)))*AV253*I253),2)*BS253),2))</f>
        <v>34135.68</v>
      </c>
      <c r="GZ253">
        <f>ROUND((ROUND((AF253*AV253*I253),2)*BA253),2)</f>
        <v>114065.28</v>
      </c>
      <c r="HA253">
        <v>0.2</v>
      </c>
      <c r="HB253">
        <v>0</v>
      </c>
      <c r="HC253">
        <f t="shared" si="248"/>
        <v>0</v>
      </c>
      <c r="IK253">
        <v>0</v>
      </c>
    </row>
    <row r="254" spans="1:245" x14ac:dyDescent="0.2">
      <c r="A254">
        <v>18</v>
      </c>
      <c r="B254">
        <v>1</v>
      </c>
      <c r="C254">
        <v>93</v>
      </c>
      <c r="E254" t="s">
        <v>270</v>
      </c>
      <c r="F254" t="s">
        <v>31</v>
      </c>
      <c r="G254" t="s">
        <v>32</v>
      </c>
      <c r="H254" t="s">
        <v>33</v>
      </c>
      <c r="I254">
        <f>I253*J254</f>
        <v>25.6</v>
      </c>
      <c r="J254">
        <v>0.2</v>
      </c>
      <c r="O254">
        <f t="shared" si="223"/>
        <v>0</v>
      </c>
      <c r="P254">
        <f t="shared" si="224"/>
        <v>0</v>
      </c>
      <c r="Q254">
        <f>(ROUND((ROUND(((ET254)*AV254*I254),2)*BB254),2)+ROUND((ROUND(((AE254-(EU254))*AV254*I254),2)*BS254),2))</f>
        <v>0</v>
      </c>
      <c r="R254">
        <f t="shared" si="225"/>
        <v>0</v>
      </c>
      <c r="S254">
        <f t="shared" ref="S254:S262" si="250">ROUND((ROUND((AF254*AV254*I254),2)*BA254),2)</f>
        <v>0</v>
      </c>
      <c r="T254">
        <f t="shared" si="226"/>
        <v>0</v>
      </c>
      <c r="U254">
        <f t="shared" si="227"/>
        <v>0</v>
      </c>
      <c r="V254">
        <f t="shared" si="228"/>
        <v>0</v>
      </c>
      <c r="W254">
        <f t="shared" si="229"/>
        <v>0</v>
      </c>
      <c r="X254">
        <f t="shared" si="230"/>
        <v>0</v>
      </c>
      <c r="Y254">
        <f t="shared" si="231"/>
        <v>0</v>
      </c>
      <c r="AA254">
        <v>309315610</v>
      </c>
      <c r="AB254">
        <f t="shared" ref="AB254:AB262" si="251">ROUND((AC254+AD254+AF254),6)</f>
        <v>0</v>
      </c>
      <c r="AC254">
        <f t="shared" si="249"/>
        <v>0</v>
      </c>
      <c r="AD254">
        <f>ROUND((((ET254)-(EU254))+AE254),6)</f>
        <v>0</v>
      </c>
      <c r="AE254">
        <f>ROUND((EU254),6)</f>
        <v>0</v>
      </c>
      <c r="AF254">
        <f>ROUND((EV254),6)</f>
        <v>0</v>
      </c>
      <c r="AG254">
        <f t="shared" si="232"/>
        <v>0</v>
      </c>
      <c r="AH254">
        <f>(EW254)</f>
        <v>0</v>
      </c>
      <c r="AI254">
        <f>(EX254)</f>
        <v>0</v>
      </c>
      <c r="AJ254">
        <f t="shared" si="233"/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3</v>
      </c>
      <c r="BE254" t="s">
        <v>3</v>
      </c>
      <c r="BF254" t="s">
        <v>3</v>
      </c>
      <c r="BG254" t="s">
        <v>3</v>
      </c>
      <c r="BH254">
        <v>3</v>
      </c>
      <c r="BI254">
        <v>1</v>
      </c>
      <c r="BJ254" t="s">
        <v>3</v>
      </c>
      <c r="BM254">
        <v>1114</v>
      </c>
      <c r="BN254">
        <v>0</v>
      </c>
      <c r="BO254" t="s">
        <v>3</v>
      </c>
      <c r="BP254">
        <v>0</v>
      </c>
      <c r="BQ254">
        <v>160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3</v>
      </c>
      <c r="BZ254">
        <v>0</v>
      </c>
      <c r="CA254">
        <v>0</v>
      </c>
      <c r="CE254">
        <v>30</v>
      </c>
      <c r="CF254">
        <v>0</v>
      </c>
      <c r="CG254">
        <v>0</v>
      </c>
      <c r="CM254">
        <v>0</v>
      </c>
      <c r="CN254" t="s">
        <v>3</v>
      </c>
      <c r="CO254">
        <v>0</v>
      </c>
      <c r="CP254">
        <f t="shared" si="234"/>
        <v>0</v>
      </c>
      <c r="CQ254">
        <f t="shared" si="235"/>
        <v>0</v>
      </c>
      <c r="CR254">
        <f>(ROUND((ROUND(((ET254)*AV254*1),2)*BB254),2)+ROUND((ROUND(((AE254-(EU254))*AV254*1),2)*BS254),2))</f>
        <v>0</v>
      </c>
      <c r="CS254">
        <f t="shared" si="236"/>
        <v>0</v>
      </c>
      <c r="CT254">
        <f t="shared" si="237"/>
        <v>0</v>
      </c>
      <c r="CU254">
        <f t="shared" si="238"/>
        <v>0</v>
      </c>
      <c r="CV254">
        <f t="shared" si="239"/>
        <v>0</v>
      </c>
      <c r="CW254">
        <f t="shared" si="240"/>
        <v>0</v>
      </c>
      <c r="CX254">
        <f t="shared" si="241"/>
        <v>0</v>
      </c>
      <c r="CY254">
        <f t="shared" si="242"/>
        <v>0</v>
      </c>
      <c r="CZ254">
        <f t="shared" si="243"/>
        <v>0</v>
      </c>
      <c r="DC254" t="s">
        <v>3</v>
      </c>
      <c r="DD254" t="s">
        <v>3</v>
      </c>
      <c r="DE254" t="s">
        <v>3</v>
      </c>
      <c r="DF254" t="s">
        <v>3</v>
      </c>
      <c r="DG254" t="s">
        <v>3</v>
      </c>
      <c r="DH254" t="s">
        <v>3</v>
      </c>
      <c r="DI254" t="s">
        <v>3</v>
      </c>
      <c r="DJ254" t="s">
        <v>3</v>
      </c>
      <c r="DK254" t="s">
        <v>3</v>
      </c>
      <c r="DL254" t="s">
        <v>3</v>
      </c>
      <c r="DM254" t="s">
        <v>3</v>
      </c>
      <c r="DN254">
        <v>0</v>
      </c>
      <c r="DO254">
        <v>0</v>
      </c>
      <c r="DP254">
        <v>1</v>
      </c>
      <c r="DQ254">
        <v>1</v>
      </c>
      <c r="DU254">
        <v>1007</v>
      </c>
      <c r="DV254" t="s">
        <v>33</v>
      </c>
      <c r="DW254" t="s">
        <v>33</v>
      </c>
      <c r="DX254">
        <v>1</v>
      </c>
      <c r="EE254">
        <v>298189190</v>
      </c>
      <c r="EF254">
        <v>160</v>
      </c>
      <c r="EG254" t="s">
        <v>23</v>
      </c>
      <c r="EH254">
        <v>0</v>
      </c>
      <c r="EI254" t="s">
        <v>3</v>
      </c>
      <c r="EJ254">
        <v>1</v>
      </c>
      <c r="EK254">
        <v>1114</v>
      </c>
      <c r="EL254" t="s">
        <v>24</v>
      </c>
      <c r="EM254" t="s">
        <v>25</v>
      </c>
      <c r="EO254" t="s">
        <v>3</v>
      </c>
      <c r="EQ254">
        <v>0</v>
      </c>
      <c r="ER254">
        <v>0</v>
      </c>
      <c r="ES254">
        <v>0</v>
      </c>
      <c r="ET254">
        <v>0</v>
      </c>
      <c r="EU254">
        <v>0</v>
      </c>
      <c r="EV254">
        <v>0</v>
      </c>
      <c r="EW254">
        <v>0</v>
      </c>
      <c r="EX254">
        <v>0</v>
      </c>
      <c r="FQ254">
        <v>0</v>
      </c>
      <c r="FR254">
        <f t="shared" si="244"/>
        <v>0</v>
      </c>
      <c r="FS254">
        <v>0</v>
      </c>
      <c r="FX254">
        <v>0</v>
      </c>
      <c r="FY254">
        <v>0</v>
      </c>
      <c r="GA254" t="s">
        <v>3</v>
      </c>
      <c r="GD254">
        <v>0</v>
      </c>
      <c r="GF254">
        <v>179728826</v>
      </c>
      <c r="GG254">
        <v>2</v>
      </c>
      <c r="GH254">
        <v>1</v>
      </c>
      <c r="GI254">
        <v>-2</v>
      </c>
      <c r="GJ254">
        <v>0</v>
      </c>
      <c r="GK254">
        <f>ROUND(R254*(R12)/100,2)</f>
        <v>0</v>
      </c>
      <c r="GL254">
        <f t="shared" si="245"/>
        <v>0</v>
      </c>
      <c r="GM254">
        <f>ROUND(O254+X254+Y254+GK254,2)+GX254</f>
        <v>0</v>
      </c>
      <c r="GN254">
        <f>IF(OR(BI254=0,BI254=1),ROUND(O254+X254+Y254+GK254,2),0)</f>
        <v>0</v>
      </c>
      <c r="GO254">
        <f>IF(BI254=2,ROUND(O254+X254+Y254+GK254,2),0)</f>
        <v>0</v>
      </c>
      <c r="GP254">
        <f>IF(BI254=4,ROUND(O254+X254+Y254+GK254,2)+GX254,0)</f>
        <v>0</v>
      </c>
      <c r="GR254">
        <v>0</v>
      </c>
      <c r="GS254">
        <v>0</v>
      </c>
      <c r="GT254">
        <v>0</v>
      </c>
      <c r="GU254" t="s">
        <v>3</v>
      </c>
      <c r="GV254">
        <f t="shared" si="246"/>
        <v>0</v>
      </c>
      <c r="GW254">
        <v>1</v>
      </c>
      <c r="GX254">
        <f t="shared" si="247"/>
        <v>0</v>
      </c>
      <c r="HA254">
        <v>0</v>
      </c>
      <c r="HB254">
        <v>0</v>
      </c>
      <c r="HC254">
        <f t="shared" si="248"/>
        <v>0</v>
      </c>
      <c r="IK254">
        <v>0</v>
      </c>
    </row>
    <row r="255" spans="1:245" x14ac:dyDescent="0.2">
      <c r="A255">
        <v>17</v>
      </c>
      <c r="B255">
        <v>1</v>
      </c>
      <c r="C255">
        <f>ROW(SmtRes!A104)</f>
        <v>104</v>
      </c>
      <c r="D255">
        <f>ROW(EtalonRes!A106)</f>
        <v>106</v>
      </c>
      <c r="E255" t="s">
        <v>271</v>
      </c>
      <c r="F255" t="s">
        <v>272</v>
      </c>
      <c r="G255" t="s">
        <v>273</v>
      </c>
      <c r="H255" t="s">
        <v>274</v>
      </c>
      <c r="I255">
        <f>ROUND(((3.2+3.2)*2*2*0.4+3.2*3.2*0.22*2)*I248/100,3)</f>
        <v>0.29499999999999998</v>
      </c>
      <c r="J255">
        <v>0</v>
      </c>
      <c r="O255">
        <f t="shared" si="223"/>
        <v>64489.54</v>
      </c>
      <c r="P255">
        <f t="shared" si="224"/>
        <v>0</v>
      </c>
      <c r="Q255">
        <f>(ROUND((ROUND((((ET255*1.15*0.8))*AV255*I255),2)*BB255),2)+ROUND((ROUND(((AE255-((EU255*1.15*0.8)))*AV255*I255),2)*BS255),2))</f>
        <v>1592.06</v>
      </c>
      <c r="R255">
        <f t="shared" si="225"/>
        <v>661.54</v>
      </c>
      <c r="S255">
        <f t="shared" si="250"/>
        <v>62897.48</v>
      </c>
      <c r="T255">
        <f t="shared" si="226"/>
        <v>0</v>
      </c>
      <c r="U255">
        <f t="shared" si="227"/>
        <v>243.9747586</v>
      </c>
      <c r="V255">
        <f t="shared" si="228"/>
        <v>0</v>
      </c>
      <c r="W255">
        <f t="shared" si="229"/>
        <v>0</v>
      </c>
      <c r="X255">
        <f t="shared" si="230"/>
        <v>77992.88</v>
      </c>
      <c r="Y255">
        <f t="shared" si="231"/>
        <v>35222.589999999997</v>
      </c>
      <c r="AA255">
        <v>309315610</v>
      </c>
      <c r="AB255">
        <f t="shared" si="251"/>
        <v>9720.3060000000005</v>
      </c>
      <c r="AC255">
        <f>ROUND(((ES255*0)),6)</f>
        <v>0</v>
      </c>
      <c r="AD255">
        <f>ROUND(((((ET255*1.15*0.8))-((EU255*1.15*0.8)))+AE255),6)</f>
        <v>567.4008</v>
      </c>
      <c r="AE255">
        <f>ROUND(((EU255*1.15*0.8)),6)</f>
        <v>96.278000000000006</v>
      </c>
      <c r="AF255">
        <f>ROUND(((EV255*1.15*0.8)),6)</f>
        <v>9152.9051999999992</v>
      </c>
      <c r="AG255">
        <f t="shared" si="232"/>
        <v>0</v>
      </c>
      <c r="AH255">
        <f>((EW255*1.15*0.8))</f>
        <v>760.84</v>
      </c>
      <c r="AI255">
        <f>((EX255*1.15*0.8))</f>
        <v>0</v>
      </c>
      <c r="AJ255">
        <f t="shared" si="233"/>
        <v>0</v>
      </c>
      <c r="AK255">
        <v>15403.55</v>
      </c>
      <c r="AL255">
        <v>4838</v>
      </c>
      <c r="AM255">
        <v>616.74</v>
      </c>
      <c r="AN255">
        <v>104.65</v>
      </c>
      <c r="AO255">
        <v>9948.81</v>
      </c>
      <c r="AP255">
        <v>0</v>
      </c>
      <c r="AQ255">
        <v>827</v>
      </c>
      <c r="AR255">
        <v>0</v>
      </c>
      <c r="AS255">
        <v>0</v>
      </c>
      <c r="AT255">
        <v>124</v>
      </c>
      <c r="AU255">
        <v>56</v>
      </c>
      <c r="AV255">
        <v>1.087</v>
      </c>
      <c r="AW255">
        <v>1.0029999999999999</v>
      </c>
      <c r="AZ255">
        <v>1</v>
      </c>
      <c r="BA255">
        <v>21.43</v>
      </c>
      <c r="BB255">
        <v>8.75</v>
      </c>
      <c r="BC255">
        <v>5.72</v>
      </c>
      <c r="BD255" t="s">
        <v>3</v>
      </c>
      <c r="BE255" t="s">
        <v>3</v>
      </c>
      <c r="BF255" t="s">
        <v>3</v>
      </c>
      <c r="BG255" t="s">
        <v>3</v>
      </c>
      <c r="BH255">
        <v>0</v>
      </c>
      <c r="BI255">
        <v>1</v>
      </c>
      <c r="BJ255" t="s">
        <v>275</v>
      </c>
      <c r="BM255">
        <v>58</v>
      </c>
      <c r="BN255">
        <v>0</v>
      </c>
      <c r="BO255" t="s">
        <v>272</v>
      </c>
      <c r="BP255">
        <v>1</v>
      </c>
      <c r="BQ255">
        <v>30</v>
      </c>
      <c r="BR255">
        <v>0</v>
      </c>
      <c r="BS255">
        <v>21.43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124</v>
      </c>
      <c r="CA255">
        <v>56</v>
      </c>
      <c r="CE255">
        <v>30</v>
      </c>
      <c r="CF255">
        <v>0</v>
      </c>
      <c r="CG255">
        <v>0</v>
      </c>
      <c r="CM255">
        <v>0</v>
      </c>
      <c r="CN255" t="s">
        <v>3</v>
      </c>
      <c r="CO255">
        <v>0</v>
      </c>
      <c r="CP255">
        <f t="shared" si="234"/>
        <v>64489.54</v>
      </c>
      <c r="CQ255">
        <f t="shared" si="235"/>
        <v>0</v>
      </c>
      <c r="CR255">
        <f>(ROUND((ROUND((((ET255*1.15*0.8))*AV255*1),2)*BB255),2)+ROUND((ROUND(((AE255-((EU255*1.15*0.8)))*AV255*1),2)*BS255),2))</f>
        <v>5396.65</v>
      </c>
      <c r="CS255">
        <f t="shared" si="236"/>
        <v>2242.65</v>
      </c>
      <c r="CT255">
        <f t="shared" si="237"/>
        <v>213211.57</v>
      </c>
      <c r="CU255">
        <f t="shared" si="238"/>
        <v>0</v>
      </c>
      <c r="CV255">
        <f t="shared" si="239"/>
        <v>827.03308000000004</v>
      </c>
      <c r="CW255">
        <f t="shared" si="240"/>
        <v>0</v>
      </c>
      <c r="CX255">
        <f t="shared" si="241"/>
        <v>0</v>
      </c>
      <c r="CY255">
        <f t="shared" si="242"/>
        <v>77992.875200000009</v>
      </c>
      <c r="CZ255">
        <f t="shared" si="243"/>
        <v>35222.588800000005</v>
      </c>
      <c r="DC255" t="s">
        <v>3</v>
      </c>
      <c r="DD255" t="s">
        <v>216</v>
      </c>
      <c r="DE255" t="s">
        <v>276</v>
      </c>
      <c r="DF255" t="s">
        <v>276</v>
      </c>
      <c r="DG255" t="s">
        <v>276</v>
      </c>
      <c r="DH255" t="s">
        <v>3</v>
      </c>
      <c r="DI255" t="s">
        <v>276</v>
      </c>
      <c r="DJ255" t="s">
        <v>276</v>
      </c>
      <c r="DK255" t="s">
        <v>3</v>
      </c>
      <c r="DL255" t="s">
        <v>3</v>
      </c>
      <c r="DM255" t="s">
        <v>3</v>
      </c>
      <c r="DN255">
        <v>159</v>
      </c>
      <c r="DO255">
        <v>119</v>
      </c>
      <c r="DP255">
        <v>1.087</v>
      </c>
      <c r="DQ255">
        <v>1.0029999999999999</v>
      </c>
      <c r="DU255">
        <v>1013</v>
      </c>
      <c r="DV255" t="s">
        <v>274</v>
      </c>
      <c r="DW255" t="s">
        <v>274</v>
      </c>
      <c r="DX255">
        <v>1</v>
      </c>
      <c r="EE255">
        <v>298188080</v>
      </c>
      <c r="EF255">
        <v>30</v>
      </c>
      <c r="EG255" t="s">
        <v>46</v>
      </c>
      <c r="EH255">
        <v>0</v>
      </c>
      <c r="EI255" t="s">
        <v>3</v>
      </c>
      <c r="EJ255">
        <v>1</v>
      </c>
      <c r="EK255">
        <v>58</v>
      </c>
      <c r="EL255" t="s">
        <v>277</v>
      </c>
      <c r="EM255" t="s">
        <v>278</v>
      </c>
      <c r="EO255" t="s">
        <v>3</v>
      </c>
      <c r="EQ255">
        <v>768</v>
      </c>
      <c r="ER255">
        <v>15403.55</v>
      </c>
      <c r="ES255">
        <v>4838</v>
      </c>
      <c r="ET255">
        <v>616.74</v>
      </c>
      <c r="EU255">
        <v>104.65</v>
      </c>
      <c r="EV255">
        <v>9948.81</v>
      </c>
      <c r="EW255">
        <v>827</v>
      </c>
      <c r="EX255">
        <v>0</v>
      </c>
      <c r="EY255">
        <v>0</v>
      </c>
      <c r="FQ255">
        <v>0</v>
      </c>
      <c r="FR255">
        <f t="shared" si="244"/>
        <v>0</v>
      </c>
      <c r="FS255">
        <v>0</v>
      </c>
      <c r="FX255">
        <v>159</v>
      </c>
      <c r="FY255">
        <v>119</v>
      </c>
      <c r="GA255" t="s">
        <v>3</v>
      </c>
      <c r="GD255">
        <v>0</v>
      </c>
      <c r="GF255">
        <v>-86281533</v>
      </c>
      <c r="GG255">
        <v>2</v>
      </c>
      <c r="GH255">
        <v>1</v>
      </c>
      <c r="GI255">
        <v>2</v>
      </c>
      <c r="GJ255">
        <v>0</v>
      </c>
      <c r="GK255">
        <f>ROUND(R255*(R12)/100,2)</f>
        <v>1038.6199999999999</v>
      </c>
      <c r="GL255">
        <f t="shared" si="245"/>
        <v>0</v>
      </c>
      <c r="GM255">
        <f>ROUND(O255+X255+Y255+GK255,2)+GX255</f>
        <v>178743.63</v>
      </c>
      <c r="GN255">
        <f>IF(OR(BI255=0,BI255=1),ROUND(O255+X255+Y255+GK255,2),0)</f>
        <v>178743.63</v>
      </c>
      <c r="GO255">
        <f>IF(BI255=2,ROUND(O255+X255+Y255+GK255,2),0)</f>
        <v>0</v>
      </c>
      <c r="GP255">
        <f>IF(BI255=4,ROUND(O255+X255+Y255+GK255,2)+GX255,0)</f>
        <v>0</v>
      </c>
      <c r="GR255">
        <v>0</v>
      </c>
      <c r="GS255">
        <v>0</v>
      </c>
      <c r="GT255">
        <v>0</v>
      </c>
      <c r="GU255" t="s">
        <v>3</v>
      </c>
      <c r="GV255">
        <f t="shared" si="246"/>
        <v>0</v>
      </c>
      <c r="GW255">
        <v>1</v>
      </c>
      <c r="GX255">
        <f t="shared" si="247"/>
        <v>0</v>
      </c>
      <c r="HA255">
        <v>0</v>
      </c>
      <c r="HB255">
        <v>0</v>
      </c>
      <c r="HC255">
        <f t="shared" si="248"/>
        <v>0</v>
      </c>
      <c r="IK255">
        <v>0</v>
      </c>
    </row>
    <row r="256" spans="1:245" x14ac:dyDescent="0.2">
      <c r="A256">
        <v>18</v>
      </c>
      <c r="B256">
        <v>1</v>
      </c>
      <c r="C256">
        <v>99</v>
      </c>
      <c r="E256" t="s">
        <v>279</v>
      </c>
      <c r="F256" t="s">
        <v>3</v>
      </c>
      <c r="G256" t="s">
        <v>280</v>
      </c>
      <c r="H256" t="s">
        <v>281</v>
      </c>
      <c r="I256">
        <f>I255*J256</f>
        <v>73.75</v>
      </c>
      <c r="J256">
        <v>250</v>
      </c>
      <c r="O256">
        <f t="shared" si="223"/>
        <v>0</v>
      </c>
      <c r="P256">
        <f t="shared" si="224"/>
        <v>0</v>
      </c>
      <c r="Q256">
        <f>(ROUND((ROUND(((ET256)*AV256*I256),2)*BB256),2)+ROUND((ROUND(((AE256-(EU256))*AV256*I256),2)*BS256),2))</f>
        <v>0</v>
      </c>
      <c r="R256">
        <f t="shared" si="225"/>
        <v>0</v>
      </c>
      <c r="S256">
        <f t="shared" si="250"/>
        <v>0</v>
      </c>
      <c r="T256">
        <f t="shared" si="226"/>
        <v>0</v>
      </c>
      <c r="U256">
        <f t="shared" si="227"/>
        <v>0</v>
      </c>
      <c r="V256">
        <f t="shared" si="228"/>
        <v>0</v>
      </c>
      <c r="W256">
        <f t="shared" si="229"/>
        <v>0</v>
      </c>
      <c r="X256">
        <f t="shared" si="230"/>
        <v>0</v>
      </c>
      <c r="Y256">
        <f t="shared" si="231"/>
        <v>0</v>
      </c>
      <c r="AA256">
        <v>309315610</v>
      </c>
      <c r="AB256">
        <f t="shared" si="251"/>
        <v>0</v>
      </c>
      <c r="AC256">
        <f t="shared" ref="AC256:AC262" si="252">ROUND((ES256),6)</f>
        <v>0</v>
      </c>
      <c r="AD256">
        <f>ROUND((((ET256)-(EU256))+AE256),6)</f>
        <v>0</v>
      </c>
      <c r="AE256">
        <f t="shared" ref="AE256:AF259" si="253">ROUND((EU256),6)</f>
        <v>0</v>
      </c>
      <c r="AF256">
        <f t="shared" si="253"/>
        <v>0</v>
      </c>
      <c r="AG256">
        <f t="shared" si="232"/>
        <v>0</v>
      </c>
      <c r="AH256">
        <f t="shared" ref="AH256:AI259" si="254">(EW256)</f>
        <v>0</v>
      </c>
      <c r="AI256">
        <f t="shared" si="254"/>
        <v>0</v>
      </c>
      <c r="AJ256">
        <f t="shared" si="233"/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1</v>
      </c>
      <c r="AW256">
        <v>1.0029999999999999</v>
      </c>
      <c r="AZ256">
        <v>1</v>
      </c>
      <c r="BA256">
        <v>1</v>
      </c>
      <c r="BB256">
        <v>1</v>
      </c>
      <c r="BC256">
        <v>1</v>
      </c>
      <c r="BD256" t="s">
        <v>3</v>
      </c>
      <c r="BE256" t="s">
        <v>3</v>
      </c>
      <c r="BF256" t="s">
        <v>3</v>
      </c>
      <c r="BG256" t="s">
        <v>3</v>
      </c>
      <c r="BH256">
        <v>3</v>
      </c>
      <c r="BI256">
        <v>1</v>
      </c>
      <c r="BJ256" t="s">
        <v>3</v>
      </c>
      <c r="BM256">
        <v>58</v>
      </c>
      <c r="BN256">
        <v>0</v>
      </c>
      <c r="BO256" t="s">
        <v>3</v>
      </c>
      <c r="BP256">
        <v>0</v>
      </c>
      <c r="BQ256">
        <v>30</v>
      </c>
      <c r="BR256">
        <v>0</v>
      </c>
      <c r="BS256">
        <v>1</v>
      </c>
      <c r="BT256">
        <v>1</v>
      </c>
      <c r="BU256">
        <v>1</v>
      </c>
      <c r="BV256">
        <v>1</v>
      </c>
      <c r="BW256">
        <v>1</v>
      </c>
      <c r="BX256">
        <v>1</v>
      </c>
      <c r="BY256" t="s">
        <v>3</v>
      </c>
      <c r="BZ256">
        <v>0</v>
      </c>
      <c r="CA256">
        <v>0</v>
      </c>
      <c r="CE256">
        <v>30</v>
      </c>
      <c r="CF256">
        <v>0</v>
      </c>
      <c r="CG256">
        <v>0</v>
      </c>
      <c r="CM256">
        <v>0</v>
      </c>
      <c r="CN256" t="s">
        <v>3</v>
      </c>
      <c r="CO256">
        <v>0</v>
      </c>
      <c r="CP256">
        <f t="shared" si="234"/>
        <v>0</v>
      </c>
      <c r="CQ256">
        <f t="shared" si="235"/>
        <v>0</v>
      </c>
      <c r="CR256">
        <f>(ROUND((ROUND(((ET256)*AV256*1),2)*BB256),2)+ROUND((ROUND(((AE256-(EU256))*AV256*1),2)*BS256),2))</f>
        <v>0</v>
      </c>
      <c r="CS256">
        <f t="shared" si="236"/>
        <v>0</v>
      </c>
      <c r="CT256">
        <f t="shared" si="237"/>
        <v>0</v>
      </c>
      <c r="CU256">
        <f t="shared" si="238"/>
        <v>0</v>
      </c>
      <c r="CV256">
        <f t="shared" si="239"/>
        <v>0</v>
      </c>
      <c r="CW256">
        <f t="shared" si="240"/>
        <v>0</v>
      </c>
      <c r="CX256">
        <f t="shared" si="241"/>
        <v>0</v>
      </c>
      <c r="CY256">
        <f t="shared" si="242"/>
        <v>0</v>
      </c>
      <c r="CZ256">
        <f t="shared" si="243"/>
        <v>0</v>
      </c>
      <c r="DC256" t="s">
        <v>3</v>
      </c>
      <c r="DD256" t="s">
        <v>3</v>
      </c>
      <c r="DE256" t="s">
        <v>3</v>
      </c>
      <c r="DF256" t="s">
        <v>3</v>
      </c>
      <c r="DG256" t="s">
        <v>3</v>
      </c>
      <c r="DH256" t="s">
        <v>3</v>
      </c>
      <c r="DI256" t="s">
        <v>3</v>
      </c>
      <c r="DJ256" t="s">
        <v>3</v>
      </c>
      <c r="DK256" t="s">
        <v>3</v>
      </c>
      <c r="DL256" t="s">
        <v>3</v>
      </c>
      <c r="DM256" t="s">
        <v>3</v>
      </c>
      <c r="DN256">
        <v>159</v>
      </c>
      <c r="DO256">
        <v>119</v>
      </c>
      <c r="DP256">
        <v>1.087</v>
      </c>
      <c r="DQ256">
        <v>1.0029999999999999</v>
      </c>
      <c r="DU256">
        <v>1012</v>
      </c>
      <c r="DV256" t="s">
        <v>281</v>
      </c>
      <c r="DW256" t="s">
        <v>282</v>
      </c>
      <c r="DX256">
        <v>1</v>
      </c>
      <c r="EE256">
        <v>298188080</v>
      </c>
      <c r="EF256">
        <v>30</v>
      </c>
      <c r="EG256" t="s">
        <v>46</v>
      </c>
      <c r="EH256">
        <v>0</v>
      </c>
      <c r="EI256" t="s">
        <v>3</v>
      </c>
      <c r="EJ256">
        <v>1</v>
      </c>
      <c r="EK256">
        <v>58</v>
      </c>
      <c r="EL256" t="s">
        <v>277</v>
      </c>
      <c r="EM256" t="s">
        <v>278</v>
      </c>
      <c r="EO256" t="s">
        <v>3</v>
      </c>
      <c r="EQ256">
        <v>768</v>
      </c>
      <c r="ER256">
        <v>0</v>
      </c>
      <c r="ES256">
        <v>0</v>
      </c>
      <c r="ET256">
        <v>0</v>
      </c>
      <c r="EU256">
        <v>0</v>
      </c>
      <c r="EV256">
        <v>0</v>
      </c>
      <c r="EW256">
        <v>0</v>
      </c>
      <c r="EX256">
        <v>0</v>
      </c>
      <c r="FQ256">
        <v>0</v>
      </c>
      <c r="FR256">
        <f t="shared" si="244"/>
        <v>0</v>
      </c>
      <c r="FS256">
        <v>0</v>
      </c>
      <c r="FX256">
        <v>159</v>
      </c>
      <c r="FY256">
        <v>119</v>
      </c>
      <c r="GA256" t="s">
        <v>3</v>
      </c>
      <c r="GD256">
        <v>0</v>
      </c>
      <c r="GF256">
        <v>-1460991068</v>
      </c>
      <c r="GG256">
        <v>2</v>
      </c>
      <c r="GH256">
        <v>0</v>
      </c>
      <c r="GI256">
        <v>-2</v>
      </c>
      <c r="GJ256">
        <v>0</v>
      </c>
      <c r="GK256">
        <f>ROUND(R256*(R12)/100,2)</f>
        <v>0</v>
      </c>
      <c r="GL256">
        <f t="shared" si="245"/>
        <v>0</v>
      </c>
      <c r="GM256">
        <f>ROUND(O256+X256+Y256+GK256,2)+GX256</f>
        <v>0</v>
      </c>
      <c r="GN256">
        <f>IF(OR(BI256=0,BI256=1),ROUND(O256+X256+Y256+GK256,2),0)</f>
        <v>0</v>
      </c>
      <c r="GO256">
        <f>IF(BI256=2,ROUND(O256+X256+Y256+GK256,2),0)</f>
        <v>0</v>
      </c>
      <c r="GP256">
        <f>IF(BI256=4,ROUND(O256+X256+Y256+GK256,2)+GX256,0)</f>
        <v>0</v>
      </c>
      <c r="GR256">
        <v>0</v>
      </c>
      <c r="GS256">
        <v>0</v>
      </c>
      <c r="GT256">
        <v>0</v>
      </c>
      <c r="GU256" t="s">
        <v>3</v>
      </c>
      <c r="GV256">
        <f t="shared" si="246"/>
        <v>0</v>
      </c>
      <c r="GW256">
        <v>1</v>
      </c>
      <c r="GX256">
        <f t="shared" si="247"/>
        <v>0</v>
      </c>
      <c r="HA256">
        <v>0</v>
      </c>
      <c r="HB256">
        <v>0</v>
      </c>
      <c r="HC256">
        <f t="shared" si="248"/>
        <v>0</v>
      </c>
      <c r="IK256">
        <v>0</v>
      </c>
    </row>
    <row r="257" spans="1:245" x14ac:dyDescent="0.2">
      <c r="A257">
        <v>17</v>
      </c>
      <c r="B257">
        <v>1</v>
      </c>
      <c r="C257">
        <f>ROW(SmtRes!A107)</f>
        <v>107</v>
      </c>
      <c r="D257">
        <f>ROW(EtalonRes!A109)</f>
        <v>109</v>
      </c>
      <c r="E257" t="s">
        <v>283</v>
      </c>
      <c r="F257" t="s">
        <v>42</v>
      </c>
      <c r="G257" t="s">
        <v>43</v>
      </c>
      <c r="H257" t="s">
        <v>44</v>
      </c>
      <c r="I257">
        <f>ROUND((I250+I254)/100,4)</f>
        <v>0.59150000000000003</v>
      </c>
      <c r="J257">
        <v>0</v>
      </c>
      <c r="O257">
        <f t="shared" si="223"/>
        <v>4988.04</v>
      </c>
      <c r="P257">
        <f t="shared" si="224"/>
        <v>0</v>
      </c>
      <c r="Q257">
        <f>(ROUND((ROUND(((ET257)*AV257*I257),2)*BB257),2)+ROUND((ROUND(((AE257-(EU257))*AV257*I257),2)*BS257),2))</f>
        <v>4775.03</v>
      </c>
      <c r="R257">
        <f t="shared" si="225"/>
        <v>2122.64</v>
      </c>
      <c r="S257">
        <f t="shared" si="250"/>
        <v>213.01</v>
      </c>
      <c r="T257">
        <f t="shared" si="226"/>
        <v>0</v>
      </c>
      <c r="U257">
        <f t="shared" si="227"/>
        <v>0.97299383999999989</v>
      </c>
      <c r="V257">
        <f t="shared" si="228"/>
        <v>0</v>
      </c>
      <c r="W257">
        <f t="shared" si="229"/>
        <v>0</v>
      </c>
      <c r="X257">
        <f t="shared" si="230"/>
        <v>195.97</v>
      </c>
      <c r="Y257">
        <f t="shared" si="231"/>
        <v>106.51</v>
      </c>
      <c r="AA257">
        <v>309315610</v>
      </c>
      <c r="AB257">
        <f t="shared" si="251"/>
        <v>771.65</v>
      </c>
      <c r="AC257">
        <f t="shared" si="252"/>
        <v>0</v>
      </c>
      <c r="AD257">
        <f>ROUND((((ET257)-(EU257))+AE257),6)</f>
        <v>757.55</v>
      </c>
      <c r="AE257">
        <f t="shared" si="253"/>
        <v>140.47999999999999</v>
      </c>
      <c r="AF257">
        <f t="shared" si="253"/>
        <v>14.1</v>
      </c>
      <c r="AG257">
        <f t="shared" si="232"/>
        <v>0</v>
      </c>
      <c r="AH257">
        <f t="shared" si="254"/>
        <v>1.38</v>
      </c>
      <c r="AI257">
        <f t="shared" si="254"/>
        <v>0</v>
      </c>
      <c r="AJ257">
        <f t="shared" si="233"/>
        <v>0</v>
      </c>
      <c r="AK257">
        <v>771.65</v>
      </c>
      <c r="AL257">
        <v>0</v>
      </c>
      <c r="AM257">
        <v>757.55</v>
      </c>
      <c r="AN257">
        <v>140.47999999999999</v>
      </c>
      <c r="AO257">
        <v>14.1</v>
      </c>
      <c r="AP257">
        <v>0</v>
      </c>
      <c r="AQ257">
        <v>1.38</v>
      </c>
      <c r="AR257">
        <v>0</v>
      </c>
      <c r="AS257">
        <v>0</v>
      </c>
      <c r="AT257">
        <v>92</v>
      </c>
      <c r="AU257">
        <v>50</v>
      </c>
      <c r="AV257">
        <v>1.1919999999999999</v>
      </c>
      <c r="AW257">
        <v>1</v>
      </c>
      <c r="AZ257">
        <v>1</v>
      </c>
      <c r="BA257">
        <v>21.43</v>
      </c>
      <c r="BB257">
        <v>8.94</v>
      </c>
      <c r="BC257">
        <v>1</v>
      </c>
      <c r="BD257" t="s">
        <v>3</v>
      </c>
      <c r="BE257" t="s">
        <v>3</v>
      </c>
      <c r="BF257" t="s">
        <v>3</v>
      </c>
      <c r="BG257" t="s">
        <v>3</v>
      </c>
      <c r="BH257">
        <v>0</v>
      </c>
      <c r="BI257">
        <v>1</v>
      </c>
      <c r="BJ257" t="s">
        <v>45</v>
      </c>
      <c r="BM257">
        <v>2</v>
      </c>
      <c r="BN257">
        <v>0</v>
      </c>
      <c r="BO257" t="s">
        <v>42</v>
      </c>
      <c r="BP257">
        <v>1</v>
      </c>
      <c r="BQ257">
        <v>30</v>
      </c>
      <c r="BR257">
        <v>0</v>
      </c>
      <c r="BS257">
        <v>21.43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92</v>
      </c>
      <c r="CA257">
        <v>50</v>
      </c>
      <c r="CE257">
        <v>30</v>
      </c>
      <c r="CF257">
        <v>0</v>
      </c>
      <c r="CG257">
        <v>0</v>
      </c>
      <c r="CM257">
        <v>0</v>
      </c>
      <c r="CN257" t="s">
        <v>3</v>
      </c>
      <c r="CO257">
        <v>0</v>
      </c>
      <c r="CP257">
        <f t="shared" si="234"/>
        <v>4988.04</v>
      </c>
      <c r="CQ257">
        <f t="shared" si="235"/>
        <v>0</v>
      </c>
      <c r="CR257">
        <f>(ROUND((ROUND(((ET257)*AV257*1),2)*BB257),2)+ROUND((ROUND(((AE257-(EU257))*AV257*1),2)*BS257),2))</f>
        <v>8072.82</v>
      </c>
      <c r="CS257">
        <f t="shared" si="236"/>
        <v>3588.45</v>
      </c>
      <c r="CT257">
        <f t="shared" si="237"/>
        <v>360.24</v>
      </c>
      <c r="CU257">
        <f t="shared" si="238"/>
        <v>0</v>
      </c>
      <c r="CV257">
        <f t="shared" si="239"/>
        <v>1.6449599999999998</v>
      </c>
      <c r="CW257">
        <f t="shared" si="240"/>
        <v>0</v>
      </c>
      <c r="CX257">
        <f t="shared" si="241"/>
        <v>0</v>
      </c>
      <c r="CY257">
        <f t="shared" si="242"/>
        <v>195.9692</v>
      </c>
      <c r="CZ257">
        <f t="shared" si="243"/>
        <v>106.505</v>
      </c>
      <c r="DC257" t="s">
        <v>3</v>
      </c>
      <c r="DD257" t="s">
        <v>3</v>
      </c>
      <c r="DE257" t="s">
        <v>3</v>
      </c>
      <c r="DF257" t="s">
        <v>3</v>
      </c>
      <c r="DG257" t="s">
        <v>3</v>
      </c>
      <c r="DH257" t="s">
        <v>3</v>
      </c>
      <c r="DI257" t="s">
        <v>3</v>
      </c>
      <c r="DJ257" t="s">
        <v>3</v>
      </c>
      <c r="DK257" t="s">
        <v>3</v>
      </c>
      <c r="DL257" t="s">
        <v>3</v>
      </c>
      <c r="DM257" t="s">
        <v>3</v>
      </c>
      <c r="DN257">
        <v>98</v>
      </c>
      <c r="DO257">
        <v>77</v>
      </c>
      <c r="DP257">
        <v>1.1919999999999999</v>
      </c>
      <c r="DQ257">
        <v>1</v>
      </c>
      <c r="DU257">
        <v>1013</v>
      </c>
      <c r="DV257" t="s">
        <v>44</v>
      </c>
      <c r="DW257" t="s">
        <v>44</v>
      </c>
      <c r="DX257">
        <v>1</v>
      </c>
      <c r="EE257">
        <v>298188122</v>
      </c>
      <c r="EF257">
        <v>30</v>
      </c>
      <c r="EG257" t="s">
        <v>46</v>
      </c>
      <c r="EH257">
        <v>0</v>
      </c>
      <c r="EI257" t="s">
        <v>3</v>
      </c>
      <c r="EJ257">
        <v>1</v>
      </c>
      <c r="EK257">
        <v>2</v>
      </c>
      <c r="EL257" t="s">
        <v>47</v>
      </c>
      <c r="EM257" t="s">
        <v>48</v>
      </c>
      <c r="EO257" t="s">
        <v>3</v>
      </c>
      <c r="EQ257">
        <v>768</v>
      </c>
      <c r="ER257">
        <v>771.65</v>
      </c>
      <c r="ES257">
        <v>0</v>
      </c>
      <c r="ET257">
        <v>757.55</v>
      </c>
      <c r="EU257">
        <v>140.47999999999999</v>
      </c>
      <c r="EV257">
        <v>14.1</v>
      </c>
      <c r="EW257">
        <v>1.38</v>
      </c>
      <c r="EX257">
        <v>0</v>
      </c>
      <c r="EY257">
        <v>0</v>
      </c>
      <c r="FQ257">
        <v>0</v>
      </c>
      <c r="FR257">
        <f t="shared" si="244"/>
        <v>0</v>
      </c>
      <c r="FS257">
        <v>0</v>
      </c>
      <c r="FX257">
        <v>98</v>
      </c>
      <c r="FY257">
        <v>77</v>
      </c>
      <c r="GA257" t="s">
        <v>3</v>
      </c>
      <c r="GD257">
        <v>0</v>
      </c>
      <c r="GF257">
        <v>445216503</v>
      </c>
      <c r="GG257">
        <v>2</v>
      </c>
      <c r="GH257">
        <v>1</v>
      </c>
      <c r="GI257">
        <v>2</v>
      </c>
      <c r="GJ257">
        <v>0</v>
      </c>
      <c r="GK257">
        <f>ROUND(R257*(R12)/100,2)</f>
        <v>3332.54</v>
      </c>
      <c r="GL257">
        <f t="shared" si="245"/>
        <v>0</v>
      </c>
      <c r="GM257">
        <f>ROUND(O257+X257+Y257+GK257,2)+GX257</f>
        <v>8623.06</v>
      </c>
      <c r="GN257">
        <f>IF(OR(BI257=0,BI257=1),ROUND(O257+X257+Y257+GK257,2),0)</f>
        <v>8623.06</v>
      </c>
      <c r="GO257">
        <f>IF(BI257=2,ROUND(O257+X257+Y257+GK257,2),0)</f>
        <v>0</v>
      </c>
      <c r="GP257">
        <f>IF(BI257=4,ROUND(O257+X257+Y257+GK257,2)+GX257,0)</f>
        <v>0</v>
      </c>
      <c r="GR257">
        <v>0</v>
      </c>
      <c r="GS257">
        <v>0</v>
      </c>
      <c r="GT257">
        <v>0</v>
      </c>
      <c r="GU257" t="s">
        <v>3</v>
      </c>
      <c r="GV257">
        <f t="shared" si="246"/>
        <v>0</v>
      </c>
      <c r="GW257">
        <v>1</v>
      </c>
      <c r="GX257">
        <f t="shared" si="247"/>
        <v>0</v>
      </c>
      <c r="HA257">
        <v>0</v>
      </c>
      <c r="HB257">
        <v>0</v>
      </c>
      <c r="HC257">
        <f t="shared" si="248"/>
        <v>0</v>
      </c>
      <c r="IK257">
        <v>0</v>
      </c>
    </row>
    <row r="258" spans="1:245" x14ac:dyDescent="0.2">
      <c r="A258">
        <v>17</v>
      </c>
      <c r="B258">
        <v>1</v>
      </c>
      <c r="C258">
        <f>ROW(SmtRes!A108)</f>
        <v>108</v>
      </c>
      <c r="D258">
        <f>ROW(EtalonRes!A110)</f>
        <v>110</v>
      </c>
      <c r="E258" t="s">
        <v>284</v>
      </c>
      <c r="F258" t="s">
        <v>50</v>
      </c>
      <c r="G258" t="s">
        <v>51</v>
      </c>
      <c r="H258" t="s">
        <v>52</v>
      </c>
      <c r="I258">
        <f>ROUND(I257*100,4)</f>
        <v>59.15</v>
      </c>
      <c r="J258">
        <v>0</v>
      </c>
      <c r="O258">
        <f t="shared" si="223"/>
        <v>25575.09</v>
      </c>
      <c r="P258">
        <f t="shared" si="224"/>
        <v>0</v>
      </c>
      <c r="Q258">
        <f>(ROUND((ROUND(((ET258+(SUM(SmtRes!BD108:'SmtRes'!BD108)+SUM(EtalonRes!AM110:'EtalonRes'!AM110)))*AV258*I258),2)*BB258),2)+ROUND((ROUND(((AE258-(EU258))*AV258*I258),2)*BS258),2))</f>
        <v>25575.09</v>
      </c>
      <c r="R258">
        <f t="shared" si="225"/>
        <v>0</v>
      </c>
      <c r="S258">
        <f t="shared" si="250"/>
        <v>0</v>
      </c>
      <c r="T258">
        <f t="shared" si="226"/>
        <v>0</v>
      </c>
      <c r="U258">
        <f t="shared" si="227"/>
        <v>0</v>
      </c>
      <c r="V258">
        <f t="shared" si="228"/>
        <v>0</v>
      </c>
      <c r="W258">
        <f t="shared" si="229"/>
        <v>0</v>
      </c>
      <c r="X258">
        <f t="shared" si="230"/>
        <v>0</v>
      </c>
      <c r="Y258">
        <f t="shared" si="231"/>
        <v>0</v>
      </c>
      <c r="AA258">
        <v>309315610</v>
      </c>
      <c r="AB258">
        <f t="shared" si="251"/>
        <v>45.37</v>
      </c>
      <c r="AC258">
        <f t="shared" si="252"/>
        <v>0</v>
      </c>
      <c r="AD258">
        <f>ROUND((((ET258+(SUM(SmtRes!BD108:'SmtRes'!BD108)+SUM(EtalonRes!AM110:'EtalonRes'!AM110)))-(EU258))+AE258),6)</f>
        <v>45.37</v>
      </c>
      <c r="AE258">
        <f t="shared" si="253"/>
        <v>0</v>
      </c>
      <c r="AF258">
        <f t="shared" si="253"/>
        <v>0</v>
      </c>
      <c r="AG258">
        <f t="shared" si="232"/>
        <v>0</v>
      </c>
      <c r="AH258">
        <f t="shared" si="254"/>
        <v>0</v>
      </c>
      <c r="AI258">
        <f t="shared" si="254"/>
        <v>0</v>
      </c>
      <c r="AJ258">
        <f t="shared" si="233"/>
        <v>0</v>
      </c>
      <c r="AK258">
        <v>73.78</v>
      </c>
      <c r="AL258">
        <v>0</v>
      </c>
      <c r="AM258">
        <v>73.78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1</v>
      </c>
      <c r="AW258">
        <v>1</v>
      </c>
      <c r="AZ258">
        <v>1</v>
      </c>
      <c r="BA258">
        <v>21.43</v>
      </c>
      <c r="BB258">
        <v>9.5299999999999994</v>
      </c>
      <c r="BC258">
        <v>1</v>
      </c>
      <c r="BD258" t="s">
        <v>3</v>
      </c>
      <c r="BE258" t="s">
        <v>3</v>
      </c>
      <c r="BF258" t="s">
        <v>3</v>
      </c>
      <c r="BG258" t="s">
        <v>3</v>
      </c>
      <c r="BH258">
        <v>0</v>
      </c>
      <c r="BI258">
        <v>4</v>
      </c>
      <c r="BJ258" t="s">
        <v>53</v>
      </c>
      <c r="BM258">
        <v>1111</v>
      </c>
      <c r="BN258">
        <v>0</v>
      </c>
      <c r="BO258" t="s">
        <v>50</v>
      </c>
      <c r="BP258">
        <v>1</v>
      </c>
      <c r="BQ258">
        <v>150</v>
      </c>
      <c r="BR258">
        <v>0</v>
      </c>
      <c r="BS258">
        <v>21.43</v>
      </c>
      <c r="BT258">
        <v>1</v>
      </c>
      <c r="BU258">
        <v>1</v>
      </c>
      <c r="BV258">
        <v>1</v>
      </c>
      <c r="BW258">
        <v>1</v>
      </c>
      <c r="BX258">
        <v>1</v>
      </c>
      <c r="BY258" t="s">
        <v>3</v>
      </c>
      <c r="BZ258">
        <v>0</v>
      </c>
      <c r="CA258">
        <v>0</v>
      </c>
      <c r="CE258">
        <v>30</v>
      </c>
      <c r="CF258">
        <v>0</v>
      </c>
      <c r="CG258">
        <v>0</v>
      </c>
      <c r="CM258">
        <v>0</v>
      </c>
      <c r="CN258" t="s">
        <v>3</v>
      </c>
      <c r="CO258">
        <v>0</v>
      </c>
      <c r="CP258">
        <f t="shared" si="234"/>
        <v>25575.09</v>
      </c>
      <c r="CQ258">
        <f t="shared" si="235"/>
        <v>0</v>
      </c>
      <c r="CR258">
        <f>(ROUND((ROUND(((ET258+(SUM(SmtRes!BD108:'SmtRes'!BD108)+SUM(EtalonRes!AM110:'EtalonRes'!AM110)))*AV258*1),2)*BB258),2)+ROUND((ROUND(((AE258-(EU258))*AV258*1),2)*BS258),2))</f>
        <v>432.38</v>
      </c>
      <c r="CS258">
        <f t="shared" si="236"/>
        <v>0</v>
      </c>
      <c r="CT258">
        <f t="shared" si="237"/>
        <v>0</v>
      </c>
      <c r="CU258">
        <f t="shared" si="238"/>
        <v>0</v>
      </c>
      <c r="CV258">
        <f t="shared" si="239"/>
        <v>0</v>
      </c>
      <c r="CW258">
        <f t="shared" si="240"/>
        <v>0</v>
      </c>
      <c r="CX258">
        <f t="shared" si="241"/>
        <v>0</v>
      </c>
      <c r="CY258">
        <f t="shared" si="242"/>
        <v>0</v>
      </c>
      <c r="CZ258">
        <f t="shared" si="243"/>
        <v>0</v>
      </c>
      <c r="DC258" t="s">
        <v>3</v>
      </c>
      <c r="DD258" t="s">
        <v>3</v>
      </c>
      <c r="DE258" t="s">
        <v>3</v>
      </c>
      <c r="DF258" t="s">
        <v>3</v>
      </c>
      <c r="DG258" t="s">
        <v>3</v>
      </c>
      <c r="DH258" t="s">
        <v>3</v>
      </c>
      <c r="DI258" t="s">
        <v>3</v>
      </c>
      <c r="DJ258" t="s">
        <v>3</v>
      </c>
      <c r="DK258" t="s">
        <v>3</v>
      </c>
      <c r="DL258" t="s">
        <v>3</v>
      </c>
      <c r="DM258" t="s">
        <v>3</v>
      </c>
      <c r="DN258">
        <v>0</v>
      </c>
      <c r="DO258">
        <v>0</v>
      </c>
      <c r="DP258">
        <v>1</v>
      </c>
      <c r="DQ258">
        <v>1</v>
      </c>
      <c r="DU258">
        <v>1013</v>
      </c>
      <c r="DV258" t="s">
        <v>52</v>
      </c>
      <c r="DW258" t="s">
        <v>52</v>
      </c>
      <c r="DX258">
        <v>1</v>
      </c>
      <c r="EE258">
        <v>298189187</v>
      </c>
      <c r="EF258">
        <v>150</v>
      </c>
      <c r="EG258" t="s">
        <v>54</v>
      </c>
      <c r="EH258">
        <v>0</v>
      </c>
      <c r="EI258" t="s">
        <v>3</v>
      </c>
      <c r="EJ258">
        <v>4</v>
      </c>
      <c r="EK258">
        <v>1111</v>
      </c>
      <c r="EL258" t="s">
        <v>55</v>
      </c>
      <c r="EM258" t="s">
        <v>56</v>
      </c>
      <c r="EO258" t="s">
        <v>3</v>
      </c>
      <c r="EQ258">
        <v>768</v>
      </c>
      <c r="ER258">
        <v>73.78</v>
      </c>
      <c r="ES258">
        <v>0</v>
      </c>
      <c r="ET258">
        <v>73.78</v>
      </c>
      <c r="EU258">
        <v>0</v>
      </c>
      <c r="EV258">
        <v>0</v>
      </c>
      <c r="EW258">
        <v>0</v>
      </c>
      <c r="EX258">
        <v>0</v>
      </c>
      <c r="EY258">
        <v>1</v>
      </c>
      <c r="FQ258">
        <v>0</v>
      </c>
      <c r="FR258">
        <f t="shared" si="244"/>
        <v>0</v>
      </c>
      <c r="FS258">
        <v>0</v>
      </c>
      <c r="FX258">
        <v>0</v>
      </c>
      <c r="FY258">
        <v>0</v>
      </c>
      <c r="GA258" t="s">
        <v>3</v>
      </c>
      <c r="GD258">
        <v>1</v>
      </c>
      <c r="GF258">
        <v>583310256</v>
      </c>
      <c r="GG258">
        <v>2</v>
      </c>
      <c r="GH258">
        <v>1</v>
      </c>
      <c r="GI258">
        <v>2</v>
      </c>
      <c r="GJ258">
        <v>0</v>
      </c>
      <c r="GK258">
        <v>0</v>
      </c>
      <c r="GL258">
        <f t="shared" si="245"/>
        <v>0</v>
      </c>
      <c r="GM258">
        <f>ROUND(O258+X258+Y258,2)+GX258</f>
        <v>25575.09</v>
      </c>
      <c r="GN258">
        <f>IF(OR(BI258=0,BI258=1),ROUND(O258+X258+Y258,2),0)</f>
        <v>0</v>
      </c>
      <c r="GO258">
        <f>IF(BI258=2,ROUND(O258+X258+Y258,2),0)</f>
        <v>0</v>
      </c>
      <c r="GP258">
        <f>IF(BI258=4,ROUND(O258+X258+Y258,2)+GX258,0)</f>
        <v>25575.09</v>
      </c>
      <c r="GR258">
        <v>0</v>
      </c>
      <c r="GS258">
        <v>3</v>
      </c>
      <c r="GT258">
        <v>0</v>
      </c>
      <c r="GU258" t="s">
        <v>3</v>
      </c>
      <c r="GV258">
        <f t="shared" si="246"/>
        <v>0</v>
      </c>
      <c r="GW258">
        <v>1</v>
      </c>
      <c r="GX258">
        <f t="shared" si="247"/>
        <v>0</v>
      </c>
      <c r="HA258">
        <v>0</v>
      </c>
      <c r="HB258">
        <v>0</v>
      </c>
      <c r="HC258">
        <f t="shared" si="248"/>
        <v>0</v>
      </c>
      <c r="IK258">
        <v>0</v>
      </c>
    </row>
    <row r="259" spans="1:245" x14ac:dyDescent="0.2">
      <c r="A259">
        <v>17</v>
      </c>
      <c r="B259">
        <v>1</v>
      </c>
      <c r="C259">
        <f>ROW(SmtRes!A109)</f>
        <v>109</v>
      </c>
      <c r="D259">
        <f>ROW(EtalonRes!A111)</f>
        <v>111</v>
      </c>
      <c r="E259" t="s">
        <v>285</v>
      </c>
      <c r="F259" t="s">
        <v>58</v>
      </c>
      <c r="G259" t="s">
        <v>59</v>
      </c>
      <c r="H259" t="s">
        <v>60</v>
      </c>
      <c r="I259">
        <f>ROUND(I258*1.8,4)</f>
        <v>106.47</v>
      </c>
      <c r="J259">
        <v>0</v>
      </c>
      <c r="O259">
        <f t="shared" si="223"/>
        <v>13225.02</v>
      </c>
      <c r="P259">
        <f t="shared" si="224"/>
        <v>0</v>
      </c>
      <c r="Q259">
        <f>(ROUND((ROUND(((ET259)*AV259*I259),2)*BB259),2)+ROUND((ROUND(((AE259-(EU259))*AV259*I259),2)*BS259),2))</f>
        <v>13225.02</v>
      </c>
      <c r="R259">
        <f t="shared" si="225"/>
        <v>0</v>
      </c>
      <c r="S259">
        <f t="shared" si="250"/>
        <v>0</v>
      </c>
      <c r="T259">
        <f t="shared" si="226"/>
        <v>0</v>
      </c>
      <c r="U259">
        <f t="shared" si="227"/>
        <v>0</v>
      </c>
      <c r="V259">
        <f t="shared" si="228"/>
        <v>0</v>
      </c>
      <c r="W259">
        <f t="shared" si="229"/>
        <v>0</v>
      </c>
      <c r="X259">
        <f t="shared" si="230"/>
        <v>0</v>
      </c>
      <c r="Y259">
        <f t="shared" si="231"/>
        <v>0</v>
      </c>
      <c r="AA259">
        <v>309315610</v>
      </c>
      <c r="AB259">
        <f t="shared" si="251"/>
        <v>43.28</v>
      </c>
      <c r="AC259">
        <f t="shared" si="252"/>
        <v>0</v>
      </c>
      <c r="AD259">
        <f>ROUND((((ET259)-(EU259))+AE259),6)</f>
        <v>43.28</v>
      </c>
      <c r="AE259">
        <f t="shared" si="253"/>
        <v>0</v>
      </c>
      <c r="AF259">
        <f t="shared" si="253"/>
        <v>0</v>
      </c>
      <c r="AG259">
        <f t="shared" si="232"/>
        <v>0</v>
      </c>
      <c r="AH259">
        <f t="shared" si="254"/>
        <v>0</v>
      </c>
      <c r="AI259">
        <f t="shared" si="254"/>
        <v>0</v>
      </c>
      <c r="AJ259">
        <f t="shared" si="233"/>
        <v>0</v>
      </c>
      <c r="AK259">
        <v>43.28</v>
      </c>
      <c r="AL259">
        <v>0</v>
      </c>
      <c r="AM259">
        <v>43.28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1</v>
      </c>
      <c r="AW259">
        <v>1</v>
      </c>
      <c r="AZ259">
        <v>1</v>
      </c>
      <c r="BA259">
        <v>21.43</v>
      </c>
      <c r="BB259">
        <v>2.87</v>
      </c>
      <c r="BC259">
        <v>1</v>
      </c>
      <c r="BD259" t="s">
        <v>3</v>
      </c>
      <c r="BE259" t="s">
        <v>3</v>
      </c>
      <c r="BF259" t="s">
        <v>3</v>
      </c>
      <c r="BG259" t="s">
        <v>3</v>
      </c>
      <c r="BH259">
        <v>0</v>
      </c>
      <c r="BI259">
        <v>4</v>
      </c>
      <c r="BJ259" t="s">
        <v>61</v>
      </c>
      <c r="BM259">
        <v>1111</v>
      </c>
      <c r="BN259">
        <v>0</v>
      </c>
      <c r="BO259" t="s">
        <v>58</v>
      </c>
      <c r="BP259">
        <v>1</v>
      </c>
      <c r="BQ259">
        <v>150</v>
      </c>
      <c r="BR259">
        <v>0</v>
      </c>
      <c r="BS259">
        <v>21.43</v>
      </c>
      <c r="BT259">
        <v>1</v>
      </c>
      <c r="BU259">
        <v>1</v>
      </c>
      <c r="BV259">
        <v>1</v>
      </c>
      <c r="BW259">
        <v>1</v>
      </c>
      <c r="BX259">
        <v>1</v>
      </c>
      <c r="BY259" t="s">
        <v>3</v>
      </c>
      <c r="BZ259">
        <v>0</v>
      </c>
      <c r="CA259">
        <v>0</v>
      </c>
      <c r="CE259">
        <v>30</v>
      </c>
      <c r="CF259">
        <v>0</v>
      </c>
      <c r="CG259">
        <v>0</v>
      </c>
      <c r="CM259">
        <v>0</v>
      </c>
      <c r="CN259" t="s">
        <v>3</v>
      </c>
      <c r="CO259">
        <v>0</v>
      </c>
      <c r="CP259">
        <f t="shared" si="234"/>
        <v>13225.02</v>
      </c>
      <c r="CQ259">
        <f t="shared" si="235"/>
        <v>0</v>
      </c>
      <c r="CR259">
        <f>(ROUND((ROUND(((ET259)*AV259*1),2)*BB259),2)+ROUND((ROUND(((AE259-(EU259))*AV259*1),2)*BS259),2))</f>
        <v>124.21</v>
      </c>
      <c r="CS259">
        <f t="shared" si="236"/>
        <v>0</v>
      </c>
      <c r="CT259">
        <f t="shared" si="237"/>
        <v>0</v>
      </c>
      <c r="CU259">
        <f t="shared" si="238"/>
        <v>0</v>
      </c>
      <c r="CV259">
        <f t="shared" si="239"/>
        <v>0</v>
      </c>
      <c r="CW259">
        <f t="shared" si="240"/>
        <v>0</v>
      </c>
      <c r="CX259">
        <f t="shared" si="241"/>
        <v>0</v>
      </c>
      <c r="CY259">
        <f t="shared" si="242"/>
        <v>0</v>
      </c>
      <c r="CZ259">
        <f t="shared" si="243"/>
        <v>0</v>
      </c>
      <c r="DC259" t="s">
        <v>3</v>
      </c>
      <c r="DD259" t="s">
        <v>3</v>
      </c>
      <c r="DE259" t="s">
        <v>3</v>
      </c>
      <c r="DF259" t="s">
        <v>3</v>
      </c>
      <c r="DG259" t="s">
        <v>3</v>
      </c>
      <c r="DH259" t="s">
        <v>3</v>
      </c>
      <c r="DI259" t="s">
        <v>3</v>
      </c>
      <c r="DJ259" t="s">
        <v>3</v>
      </c>
      <c r="DK259" t="s">
        <v>3</v>
      </c>
      <c r="DL259" t="s">
        <v>3</v>
      </c>
      <c r="DM259" t="s">
        <v>3</v>
      </c>
      <c r="DN259">
        <v>0</v>
      </c>
      <c r="DO259">
        <v>0</v>
      </c>
      <c r="DP259">
        <v>1</v>
      </c>
      <c r="DQ259">
        <v>1</v>
      </c>
      <c r="DU259">
        <v>1013</v>
      </c>
      <c r="DV259" t="s">
        <v>60</v>
      </c>
      <c r="DW259" t="s">
        <v>60</v>
      </c>
      <c r="DX259">
        <v>1</v>
      </c>
      <c r="EE259">
        <v>298189187</v>
      </c>
      <c r="EF259">
        <v>150</v>
      </c>
      <c r="EG259" t="s">
        <v>54</v>
      </c>
      <c r="EH259">
        <v>0</v>
      </c>
      <c r="EI259" t="s">
        <v>3</v>
      </c>
      <c r="EJ259">
        <v>4</v>
      </c>
      <c r="EK259">
        <v>1111</v>
      </c>
      <c r="EL259" t="s">
        <v>55</v>
      </c>
      <c r="EM259" t="s">
        <v>56</v>
      </c>
      <c r="EO259" t="s">
        <v>3</v>
      </c>
      <c r="EQ259">
        <v>768</v>
      </c>
      <c r="ER259">
        <v>43.28</v>
      </c>
      <c r="ES259">
        <v>0</v>
      </c>
      <c r="ET259">
        <v>43.28</v>
      </c>
      <c r="EU259">
        <v>0</v>
      </c>
      <c r="EV259">
        <v>0</v>
      </c>
      <c r="EW259">
        <v>0</v>
      </c>
      <c r="EX259">
        <v>0</v>
      </c>
      <c r="EY259">
        <v>0</v>
      </c>
      <c r="FQ259">
        <v>0</v>
      </c>
      <c r="FR259">
        <f t="shared" si="244"/>
        <v>0</v>
      </c>
      <c r="FS259">
        <v>0</v>
      </c>
      <c r="FX259">
        <v>0</v>
      </c>
      <c r="FY259">
        <v>0</v>
      </c>
      <c r="GA259" t="s">
        <v>3</v>
      </c>
      <c r="GD259">
        <v>1</v>
      </c>
      <c r="GF259">
        <v>-1830155644</v>
      </c>
      <c r="GG259">
        <v>2</v>
      </c>
      <c r="GH259">
        <v>1</v>
      </c>
      <c r="GI259">
        <v>2</v>
      </c>
      <c r="GJ259">
        <v>0</v>
      </c>
      <c r="GK259">
        <v>0</v>
      </c>
      <c r="GL259">
        <f t="shared" si="245"/>
        <v>0</v>
      </c>
      <c r="GM259">
        <f>ROUND(O259+X259+Y259,2)+GX259</f>
        <v>13225.02</v>
      </c>
      <c r="GN259">
        <f>IF(OR(BI259=0,BI259=1),ROUND(O259+X259+Y259,2),0)</f>
        <v>0</v>
      </c>
      <c r="GO259">
        <f>IF(BI259=2,ROUND(O259+X259+Y259,2),0)</f>
        <v>0</v>
      </c>
      <c r="GP259">
        <f>IF(BI259=4,ROUND(O259+X259+Y259,2)+GX259,0)</f>
        <v>13225.02</v>
      </c>
      <c r="GR259">
        <v>0</v>
      </c>
      <c r="GS259">
        <v>0</v>
      </c>
      <c r="GT259">
        <v>0</v>
      </c>
      <c r="GU259" t="s">
        <v>3</v>
      </c>
      <c r="GV259">
        <f t="shared" si="246"/>
        <v>0</v>
      </c>
      <c r="GW259">
        <v>1</v>
      </c>
      <c r="GX259">
        <f t="shared" si="247"/>
        <v>0</v>
      </c>
      <c r="HA259">
        <v>0</v>
      </c>
      <c r="HB259">
        <v>0</v>
      </c>
      <c r="HC259">
        <f t="shared" si="248"/>
        <v>0</v>
      </c>
      <c r="IK259">
        <v>0</v>
      </c>
    </row>
    <row r="260" spans="1:245" x14ac:dyDescent="0.2">
      <c r="A260">
        <v>17</v>
      </c>
      <c r="B260">
        <v>1</v>
      </c>
      <c r="C260">
        <f>ROW(SmtRes!A110)</f>
        <v>110</v>
      </c>
      <c r="D260">
        <f>ROW(EtalonRes!A112)</f>
        <v>112</v>
      </c>
      <c r="E260" t="s">
        <v>286</v>
      </c>
      <c r="F260" t="s">
        <v>244</v>
      </c>
      <c r="G260" t="s">
        <v>245</v>
      </c>
      <c r="H260" t="s">
        <v>60</v>
      </c>
      <c r="I260">
        <f>ROUND(I256,3)</f>
        <v>73.75</v>
      </c>
      <c r="J260">
        <v>0</v>
      </c>
      <c r="O260">
        <f t="shared" si="223"/>
        <v>5990.3</v>
      </c>
      <c r="P260">
        <f t="shared" si="224"/>
        <v>0</v>
      </c>
      <c r="Q260">
        <f>(ROUND((ROUND((((ET260*1.1))*AV260*I260),2)*BB260),2)+ROUND((ROUND(((AE260-((EU260*1.1)))*AV260*I260),2)*BS260),2))</f>
        <v>5990.3</v>
      </c>
      <c r="R260">
        <f t="shared" si="225"/>
        <v>2693.97</v>
      </c>
      <c r="S260">
        <f t="shared" si="250"/>
        <v>0</v>
      </c>
      <c r="T260">
        <f t="shared" si="226"/>
        <v>0</v>
      </c>
      <c r="U260">
        <f t="shared" si="227"/>
        <v>0</v>
      </c>
      <c r="V260">
        <f t="shared" si="228"/>
        <v>0</v>
      </c>
      <c r="W260">
        <f t="shared" si="229"/>
        <v>0</v>
      </c>
      <c r="X260">
        <f t="shared" si="230"/>
        <v>0</v>
      </c>
      <c r="Y260">
        <f t="shared" si="231"/>
        <v>0</v>
      </c>
      <c r="AA260">
        <v>309315610</v>
      </c>
      <c r="AB260">
        <f t="shared" si="251"/>
        <v>9.7460000000000004</v>
      </c>
      <c r="AC260">
        <f t="shared" si="252"/>
        <v>0</v>
      </c>
      <c r="AD260">
        <f>ROUND(((((ET260*1.1))-((EU260*1.1)))+AE260),6)</f>
        <v>9.7460000000000004</v>
      </c>
      <c r="AE260">
        <f>ROUND(((EU260*1.1)),6)</f>
        <v>1.6279999999999999</v>
      </c>
      <c r="AF260">
        <f>ROUND(((EV260*1.1)),6)</f>
        <v>0</v>
      </c>
      <c r="AG260">
        <f t="shared" si="232"/>
        <v>0</v>
      </c>
      <c r="AH260">
        <f>((EW260*1.1))</f>
        <v>0</v>
      </c>
      <c r="AI260">
        <f>((EX260*1.1))</f>
        <v>0</v>
      </c>
      <c r="AJ260">
        <f t="shared" si="233"/>
        <v>0</v>
      </c>
      <c r="AK260">
        <v>8.86</v>
      </c>
      <c r="AL260">
        <v>0</v>
      </c>
      <c r="AM260">
        <v>8.86</v>
      </c>
      <c r="AN260">
        <v>1.48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73</v>
      </c>
      <c r="AU260">
        <v>41</v>
      </c>
      <c r="AV260">
        <v>1.0469999999999999</v>
      </c>
      <c r="AW260">
        <v>1.002</v>
      </c>
      <c r="AZ260">
        <v>1</v>
      </c>
      <c r="BA260">
        <v>21.43</v>
      </c>
      <c r="BB260">
        <v>7.96</v>
      </c>
      <c r="BC260">
        <v>1</v>
      </c>
      <c r="BD260" t="s">
        <v>3</v>
      </c>
      <c r="BE260" t="s">
        <v>3</v>
      </c>
      <c r="BF260" t="s">
        <v>3</v>
      </c>
      <c r="BG260" t="s">
        <v>3</v>
      </c>
      <c r="BH260">
        <v>0</v>
      </c>
      <c r="BI260">
        <v>1</v>
      </c>
      <c r="BJ260" t="s">
        <v>246</v>
      </c>
      <c r="BM260">
        <v>658</v>
      </c>
      <c r="BN260">
        <v>0</v>
      </c>
      <c r="BO260" t="s">
        <v>244</v>
      </c>
      <c r="BP260">
        <v>1</v>
      </c>
      <c r="BQ260">
        <v>60</v>
      </c>
      <c r="BR260">
        <v>0</v>
      </c>
      <c r="BS260">
        <v>21.43</v>
      </c>
      <c r="BT260">
        <v>1</v>
      </c>
      <c r="BU260">
        <v>1</v>
      </c>
      <c r="BV260">
        <v>1</v>
      </c>
      <c r="BW260">
        <v>1</v>
      </c>
      <c r="BX260">
        <v>1</v>
      </c>
      <c r="BY260" t="s">
        <v>3</v>
      </c>
      <c r="BZ260">
        <v>73</v>
      </c>
      <c r="CA260">
        <v>41</v>
      </c>
      <c r="CE260">
        <v>30</v>
      </c>
      <c r="CF260">
        <v>0</v>
      </c>
      <c r="CG260">
        <v>0</v>
      </c>
      <c r="CM260">
        <v>0</v>
      </c>
      <c r="CN260" t="s">
        <v>3</v>
      </c>
      <c r="CO260">
        <v>0</v>
      </c>
      <c r="CP260">
        <f t="shared" si="234"/>
        <v>5990.3</v>
      </c>
      <c r="CQ260">
        <f t="shared" si="235"/>
        <v>0</v>
      </c>
      <c r="CR260">
        <f>(ROUND((ROUND((((ET260*1.1))*AV260*1),2)*BB260),2)+ROUND((ROUND(((AE260-((EU260*1.1)))*AV260*1),2)*BS260),2))</f>
        <v>81.19</v>
      </c>
      <c r="CS260">
        <f t="shared" si="236"/>
        <v>36.43</v>
      </c>
      <c r="CT260">
        <f t="shared" si="237"/>
        <v>0</v>
      </c>
      <c r="CU260">
        <f t="shared" si="238"/>
        <v>0</v>
      </c>
      <c r="CV260">
        <f t="shared" si="239"/>
        <v>0</v>
      </c>
      <c r="CW260">
        <f t="shared" si="240"/>
        <v>0</v>
      </c>
      <c r="CX260">
        <f t="shared" si="241"/>
        <v>0</v>
      </c>
      <c r="CY260">
        <f t="shared" si="242"/>
        <v>0</v>
      </c>
      <c r="CZ260">
        <f t="shared" si="243"/>
        <v>0</v>
      </c>
      <c r="DC260" t="s">
        <v>3</v>
      </c>
      <c r="DD260" t="s">
        <v>3</v>
      </c>
      <c r="DE260" t="s">
        <v>230</v>
      </c>
      <c r="DF260" t="s">
        <v>230</v>
      </c>
      <c r="DG260" t="s">
        <v>230</v>
      </c>
      <c r="DH260" t="s">
        <v>3</v>
      </c>
      <c r="DI260" t="s">
        <v>230</v>
      </c>
      <c r="DJ260" t="s">
        <v>230</v>
      </c>
      <c r="DK260" t="s">
        <v>3</v>
      </c>
      <c r="DL260" t="s">
        <v>3</v>
      </c>
      <c r="DM260" t="s">
        <v>3</v>
      </c>
      <c r="DN260">
        <v>91</v>
      </c>
      <c r="DO260">
        <v>70</v>
      </c>
      <c r="DP260">
        <v>1.0469999999999999</v>
      </c>
      <c r="DQ260">
        <v>1.002</v>
      </c>
      <c r="DU260">
        <v>1013</v>
      </c>
      <c r="DV260" t="s">
        <v>60</v>
      </c>
      <c r="DW260" t="s">
        <v>60</v>
      </c>
      <c r="DX260">
        <v>1</v>
      </c>
      <c r="EE260">
        <v>298188734</v>
      </c>
      <c r="EF260">
        <v>60</v>
      </c>
      <c r="EG260" t="s">
        <v>231</v>
      </c>
      <c r="EH260">
        <v>0</v>
      </c>
      <c r="EI260" t="s">
        <v>3</v>
      </c>
      <c r="EJ260">
        <v>1</v>
      </c>
      <c r="EK260">
        <v>658</v>
      </c>
      <c r="EL260" t="s">
        <v>247</v>
      </c>
      <c r="EM260" t="s">
        <v>248</v>
      </c>
      <c r="EO260" t="s">
        <v>3</v>
      </c>
      <c r="EQ260">
        <v>768</v>
      </c>
      <c r="ER260">
        <v>8.86</v>
      </c>
      <c r="ES260">
        <v>0</v>
      </c>
      <c r="ET260">
        <v>8.86</v>
      </c>
      <c r="EU260">
        <v>1.48</v>
      </c>
      <c r="EV260">
        <v>0</v>
      </c>
      <c r="EW260">
        <v>0</v>
      </c>
      <c r="EX260">
        <v>0</v>
      </c>
      <c r="EY260">
        <v>0</v>
      </c>
      <c r="FQ260">
        <v>0</v>
      </c>
      <c r="FR260">
        <f t="shared" si="244"/>
        <v>0</v>
      </c>
      <c r="FS260">
        <v>0</v>
      </c>
      <c r="FX260">
        <v>91</v>
      </c>
      <c r="FY260">
        <v>70</v>
      </c>
      <c r="GA260" t="s">
        <v>3</v>
      </c>
      <c r="GD260">
        <v>0</v>
      </c>
      <c r="GF260">
        <v>-1983005167</v>
      </c>
      <c r="GG260">
        <v>2</v>
      </c>
      <c r="GH260">
        <v>1</v>
      </c>
      <c r="GI260">
        <v>2</v>
      </c>
      <c r="GJ260">
        <v>0</v>
      </c>
      <c r="GK260">
        <f>ROUND(R260*(R12)/100,2)</f>
        <v>4229.53</v>
      </c>
      <c r="GL260">
        <f t="shared" si="245"/>
        <v>0</v>
      </c>
      <c r="GM260">
        <f>ROUND(O260+X260+Y260+GK260,2)+GX260</f>
        <v>10219.83</v>
      </c>
      <c r="GN260">
        <f>IF(OR(BI260=0,BI260=1),ROUND(O260+X260+Y260+GK260,2),0)</f>
        <v>10219.83</v>
      </c>
      <c r="GO260">
        <f>IF(BI260=2,ROUND(O260+X260+Y260+GK260,2),0)</f>
        <v>0</v>
      </c>
      <c r="GP260">
        <f>IF(BI260=4,ROUND(O260+X260+Y260+GK260,2)+GX260,0)</f>
        <v>0</v>
      </c>
      <c r="GR260">
        <v>0</v>
      </c>
      <c r="GS260">
        <v>0</v>
      </c>
      <c r="GT260">
        <v>0</v>
      </c>
      <c r="GU260" t="s">
        <v>3</v>
      </c>
      <c r="GV260">
        <f t="shared" si="246"/>
        <v>0</v>
      </c>
      <c r="GW260">
        <v>1</v>
      </c>
      <c r="GX260">
        <f t="shared" si="247"/>
        <v>0</v>
      </c>
      <c r="HA260">
        <v>0</v>
      </c>
      <c r="HB260">
        <v>0</v>
      </c>
      <c r="HC260">
        <f t="shared" si="248"/>
        <v>0</v>
      </c>
      <c r="IK260">
        <v>0</v>
      </c>
    </row>
    <row r="261" spans="1:245" x14ac:dyDescent="0.2">
      <c r="A261">
        <v>17</v>
      </c>
      <c r="B261">
        <v>1</v>
      </c>
      <c r="C261">
        <f>ROW(SmtRes!A111)</f>
        <v>111</v>
      </c>
      <c r="D261">
        <f>ROW(EtalonRes!A113)</f>
        <v>113</v>
      </c>
      <c r="E261" t="s">
        <v>287</v>
      </c>
      <c r="F261" t="s">
        <v>63</v>
      </c>
      <c r="G261" t="s">
        <v>64</v>
      </c>
      <c r="H261" t="s">
        <v>60</v>
      </c>
      <c r="I261">
        <f>ROUND(I249+I256,3)</f>
        <v>74.221000000000004</v>
      </c>
      <c r="J261">
        <v>0</v>
      </c>
      <c r="O261">
        <f t="shared" si="223"/>
        <v>17939.28</v>
      </c>
      <c r="P261">
        <f t="shared" si="224"/>
        <v>0</v>
      </c>
      <c r="Q261">
        <f>(ROUND((ROUND(((ET261)*AV261*I261),2)*BB261),2)+ROUND((ROUND(((AE261-(EU261))*AV261*I261),2)*BS261),2))</f>
        <v>17939.28</v>
      </c>
      <c r="R261">
        <f t="shared" si="225"/>
        <v>0</v>
      </c>
      <c r="S261">
        <f t="shared" si="250"/>
        <v>0</v>
      </c>
      <c r="T261">
        <f t="shared" si="226"/>
        <v>0</v>
      </c>
      <c r="U261">
        <f t="shared" si="227"/>
        <v>0</v>
      </c>
      <c r="V261">
        <f t="shared" si="228"/>
        <v>0</v>
      </c>
      <c r="W261">
        <f t="shared" si="229"/>
        <v>0</v>
      </c>
      <c r="X261">
        <f t="shared" si="230"/>
        <v>0</v>
      </c>
      <c r="Y261">
        <f t="shared" si="231"/>
        <v>0</v>
      </c>
      <c r="AA261">
        <v>309315610</v>
      </c>
      <c r="AB261">
        <f t="shared" si="251"/>
        <v>27.91</v>
      </c>
      <c r="AC261">
        <f t="shared" si="252"/>
        <v>0</v>
      </c>
      <c r="AD261">
        <f>ROUND((((ET261)-(EU261))+AE261),6)</f>
        <v>27.91</v>
      </c>
      <c r="AE261">
        <f>ROUND((EU261),6)</f>
        <v>0</v>
      </c>
      <c r="AF261">
        <f>ROUND((EV261),6)</f>
        <v>0</v>
      </c>
      <c r="AG261">
        <f t="shared" si="232"/>
        <v>0</v>
      </c>
      <c r="AH261">
        <f>(EW261)</f>
        <v>0</v>
      </c>
      <c r="AI261">
        <f>(EX261)</f>
        <v>0</v>
      </c>
      <c r="AJ261">
        <f t="shared" si="233"/>
        <v>0</v>
      </c>
      <c r="AK261">
        <v>27.91</v>
      </c>
      <c r="AL261">
        <v>0</v>
      </c>
      <c r="AM261">
        <v>27.91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1</v>
      </c>
      <c r="AW261">
        <v>1</v>
      </c>
      <c r="AZ261">
        <v>1</v>
      </c>
      <c r="BA261">
        <v>21.43</v>
      </c>
      <c r="BB261">
        <v>8.66</v>
      </c>
      <c r="BC261">
        <v>1</v>
      </c>
      <c r="BD261" t="s">
        <v>3</v>
      </c>
      <c r="BE261" t="s">
        <v>3</v>
      </c>
      <c r="BF261" t="s">
        <v>3</v>
      </c>
      <c r="BG261" t="s">
        <v>3</v>
      </c>
      <c r="BH261">
        <v>0</v>
      </c>
      <c r="BI261">
        <v>4</v>
      </c>
      <c r="BJ261" t="s">
        <v>65</v>
      </c>
      <c r="BM261">
        <v>1113</v>
      </c>
      <c r="BN261">
        <v>0</v>
      </c>
      <c r="BO261" t="s">
        <v>63</v>
      </c>
      <c r="BP261">
        <v>1</v>
      </c>
      <c r="BQ261">
        <v>150</v>
      </c>
      <c r="BR261">
        <v>0</v>
      </c>
      <c r="BS261">
        <v>21.43</v>
      </c>
      <c r="BT261">
        <v>1</v>
      </c>
      <c r="BU261">
        <v>1</v>
      </c>
      <c r="BV261">
        <v>1</v>
      </c>
      <c r="BW261">
        <v>1</v>
      </c>
      <c r="BX261">
        <v>1</v>
      </c>
      <c r="BY261" t="s">
        <v>3</v>
      </c>
      <c r="BZ261">
        <v>0</v>
      </c>
      <c r="CA261">
        <v>0</v>
      </c>
      <c r="CE261">
        <v>30</v>
      </c>
      <c r="CF261">
        <v>0</v>
      </c>
      <c r="CG261">
        <v>0</v>
      </c>
      <c r="CM261">
        <v>0</v>
      </c>
      <c r="CN261" t="s">
        <v>3</v>
      </c>
      <c r="CO261">
        <v>0</v>
      </c>
      <c r="CP261">
        <f t="shared" si="234"/>
        <v>17939.28</v>
      </c>
      <c r="CQ261">
        <f t="shared" si="235"/>
        <v>0</v>
      </c>
      <c r="CR261">
        <f>(ROUND((ROUND(((ET261)*AV261*1),2)*BB261),2)+ROUND((ROUND(((AE261-(EU261))*AV261*1),2)*BS261),2))</f>
        <v>241.7</v>
      </c>
      <c r="CS261">
        <f t="shared" si="236"/>
        <v>0</v>
      </c>
      <c r="CT261">
        <f t="shared" si="237"/>
        <v>0</v>
      </c>
      <c r="CU261">
        <f t="shared" si="238"/>
        <v>0</v>
      </c>
      <c r="CV261">
        <f t="shared" si="239"/>
        <v>0</v>
      </c>
      <c r="CW261">
        <f t="shared" si="240"/>
        <v>0</v>
      </c>
      <c r="CX261">
        <f t="shared" si="241"/>
        <v>0</v>
      </c>
      <c r="CY261">
        <f t="shared" si="242"/>
        <v>0</v>
      </c>
      <c r="CZ261">
        <f t="shared" si="243"/>
        <v>0</v>
      </c>
      <c r="DC261" t="s">
        <v>3</v>
      </c>
      <c r="DD261" t="s">
        <v>3</v>
      </c>
      <c r="DE261" t="s">
        <v>3</v>
      </c>
      <c r="DF261" t="s">
        <v>3</v>
      </c>
      <c r="DG261" t="s">
        <v>3</v>
      </c>
      <c r="DH261" t="s">
        <v>3</v>
      </c>
      <c r="DI261" t="s">
        <v>3</v>
      </c>
      <c r="DJ261" t="s">
        <v>3</v>
      </c>
      <c r="DK261" t="s">
        <v>3</v>
      </c>
      <c r="DL261" t="s">
        <v>3</v>
      </c>
      <c r="DM261" t="s">
        <v>3</v>
      </c>
      <c r="DN261">
        <v>0</v>
      </c>
      <c r="DO261">
        <v>0</v>
      </c>
      <c r="DP261">
        <v>1</v>
      </c>
      <c r="DQ261">
        <v>1</v>
      </c>
      <c r="DU261">
        <v>1013</v>
      </c>
      <c r="DV261" t="s">
        <v>60</v>
      </c>
      <c r="DW261" t="s">
        <v>60</v>
      </c>
      <c r="DX261">
        <v>1</v>
      </c>
      <c r="EE261">
        <v>298189189</v>
      </c>
      <c r="EF261">
        <v>150</v>
      </c>
      <c r="EG261" t="s">
        <v>54</v>
      </c>
      <c r="EH261">
        <v>0</v>
      </c>
      <c r="EI261" t="s">
        <v>3</v>
      </c>
      <c r="EJ261">
        <v>4</v>
      </c>
      <c r="EK261">
        <v>1113</v>
      </c>
      <c r="EL261" t="s">
        <v>66</v>
      </c>
      <c r="EM261" t="s">
        <v>67</v>
      </c>
      <c r="EO261" t="s">
        <v>3</v>
      </c>
      <c r="EQ261">
        <v>0</v>
      </c>
      <c r="ER261">
        <v>27.91</v>
      </c>
      <c r="ES261">
        <v>0</v>
      </c>
      <c r="ET261">
        <v>27.91</v>
      </c>
      <c r="EU261">
        <v>0</v>
      </c>
      <c r="EV261">
        <v>0</v>
      </c>
      <c r="EW261">
        <v>0</v>
      </c>
      <c r="EX261">
        <v>0</v>
      </c>
      <c r="EY261">
        <v>0</v>
      </c>
      <c r="FQ261">
        <v>0</v>
      </c>
      <c r="FR261">
        <f t="shared" si="244"/>
        <v>0</v>
      </c>
      <c r="FS261">
        <v>0</v>
      </c>
      <c r="FX261">
        <v>0</v>
      </c>
      <c r="FY261">
        <v>0</v>
      </c>
      <c r="GA261" t="s">
        <v>3</v>
      </c>
      <c r="GD261">
        <v>1</v>
      </c>
      <c r="GF261">
        <v>-1712937699</v>
      </c>
      <c r="GG261">
        <v>2</v>
      </c>
      <c r="GH261">
        <v>1</v>
      </c>
      <c r="GI261">
        <v>2</v>
      </c>
      <c r="GJ261">
        <v>0</v>
      </c>
      <c r="GK261">
        <v>0</v>
      </c>
      <c r="GL261">
        <f t="shared" si="245"/>
        <v>0</v>
      </c>
      <c r="GM261">
        <f>ROUND(O261+X261+Y261,2)+GX261</f>
        <v>17939.28</v>
      </c>
      <c r="GN261">
        <f>IF(OR(BI261=0,BI261=1),ROUND(O261+X261+Y261,2),0)</f>
        <v>0</v>
      </c>
      <c r="GO261">
        <f>IF(BI261=2,ROUND(O261+X261+Y261,2),0)</f>
        <v>0</v>
      </c>
      <c r="GP261">
        <f>IF(BI261=4,ROUND(O261+X261+Y261,2)+GX261,0)</f>
        <v>17939.28</v>
      </c>
      <c r="GR261">
        <v>0</v>
      </c>
      <c r="GS261">
        <v>3</v>
      </c>
      <c r="GT261">
        <v>0</v>
      </c>
      <c r="GU261" t="s">
        <v>3</v>
      </c>
      <c r="GV261">
        <f t="shared" si="246"/>
        <v>0</v>
      </c>
      <c r="GW261">
        <v>1</v>
      </c>
      <c r="GX261">
        <f t="shared" si="247"/>
        <v>0</v>
      </c>
      <c r="HA261">
        <v>0</v>
      </c>
      <c r="HB261">
        <v>0</v>
      </c>
      <c r="HC261">
        <f t="shared" si="248"/>
        <v>0</v>
      </c>
      <c r="IK261">
        <v>0</v>
      </c>
    </row>
    <row r="262" spans="1:245" x14ac:dyDescent="0.2">
      <c r="A262">
        <v>17</v>
      </c>
      <c r="B262">
        <v>1</v>
      </c>
      <c r="C262">
        <f>ROW(SmtRes!A112)</f>
        <v>112</v>
      </c>
      <c r="D262">
        <f>ROW(EtalonRes!A114)</f>
        <v>114</v>
      </c>
      <c r="E262" t="s">
        <v>288</v>
      </c>
      <c r="F262" t="s">
        <v>69</v>
      </c>
      <c r="G262" t="s">
        <v>70</v>
      </c>
      <c r="H262" t="s">
        <v>60</v>
      </c>
      <c r="I262">
        <f>ROUND(I249+I256,3)</f>
        <v>74.221000000000004</v>
      </c>
      <c r="J262">
        <v>0</v>
      </c>
      <c r="O262">
        <f t="shared" si="223"/>
        <v>16042.12</v>
      </c>
      <c r="P262">
        <f t="shared" si="224"/>
        <v>0</v>
      </c>
      <c r="Q262">
        <f>(ROUND((ROUND(((ET262)*AV262*I262),2)*BB262),2)+ROUND((ROUND(((AE262-(EU262))*AV262*I262),2)*BS262),2))</f>
        <v>16042.12</v>
      </c>
      <c r="R262">
        <f t="shared" si="225"/>
        <v>0</v>
      </c>
      <c r="S262">
        <f t="shared" si="250"/>
        <v>0</v>
      </c>
      <c r="T262">
        <f t="shared" si="226"/>
        <v>0</v>
      </c>
      <c r="U262">
        <f t="shared" si="227"/>
        <v>0</v>
      </c>
      <c r="V262">
        <f t="shared" si="228"/>
        <v>0</v>
      </c>
      <c r="W262">
        <f t="shared" si="229"/>
        <v>0</v>
      </c>
      <c r="X262">
        <f t="shared" si="230"/>
        <v>0</v>
      </c>
      <c r="Y262">
        <f t="shared" si="231"/>
        <v>0</v>
      </c>
      <c r="AA262">
        <v>309315610</v>
      </c>
      <c r="AB262">
        <f t="shared" si="251"/>
        <v>101</v>
      </c>
      <c r="AC262">
        <f t="shared" si="252"/>
        <v>0</v>
      </c>
      <c r="AD262">
        <f>ROUND((((ET262)-(EU262))+AE262),6)</f>
        <v>101</v>
      </c>
      <c r="AE262">
        <f>ROUND((EU262),6)</f>
        <v>0</v>
      </c>
      <c r="AF262">
        <f>ROUND((EV262),6)</f>
        <v>0</v>
      </c>
      <c r="AG262">
        <f t="shared" si="232"/>
        <v>0</v>
      </c>
      <c r="AH262">
        <f>(EW262)</f>
        <v>0</v>
      </c>
      <c r="AI262">
        <f>(EX262)</f>
        <v>0</v>
      </c>
      <c r="AJ262">
        <f t="shared" si="233"/>
        <v>0</v>
      </c>
      <c r="AK262">
        <v>101</v>
      </c>
      <c r="AL262">
        <v>0</v>
      </c>
      <c r="AM262">
        <v>101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1</v>
      </c>
      <c r="AW262">
        <v>1</v>
      </c>
      <c r="AZ262">
        <v>1</v>
      </c>
      <c r="BA262">
        <v>21.43</v>
      </c>
      <c r="BB262">
        <v>2.14</v>
      </c>
      <c r="BC262">
        <v>1</v>
      </c>
      <c r="BD262" t="s">
        <v>3</v>
      </c>
      <c r="BE262" t="s">
        <v>3</v>
      </c>
      <c r="BF262" t="s">
        <v>3</v>
      </c>
      <c r="BG262" t="s">
        <v>3</v>
      </c>
      <c r="BH262">
        <v>0</v>
      </c>
      <c r="BI262">
        <v>4</v>
      </c>
      <c r="BJ262" t="s">
        <v>71</v>
      </c>
      <c r="BM262">
        <v>1110</v>
      </c>
      <c r="BN262">
        <v>0</v>
      </c>
      <c r="BO262" t="s">
        <v>69</v>
      </c>
      <c r="BP262">
        <v>1</v>
      </c>
      <c r="BQ262">
        <v>150</v>
      </c>
      <c r="BR262">
        <v>0</v>
      </c>
      <c r="BS262">
        <v>21.43</v>
      </c>
      <c r="BT262">
        <v>1</v>
      </c>
      <c r="BU262">
        <v>1</v>
      </c>
      <c r="BV262">
        <v>1</v>
      </c>
      <c r="BW262">
        <v>1</v>
      </c>
      <c r="BX262">
        <v>1</v>
      </c>
      <c r="BY262" t="s">
        <v>3</v>
      </c>
      <c r="BZ262">
        <v>0</v>
      </c>
      <c r="CA262">
        <v>0</v>
      </c>
      <c r="CE262">
        <v>30</v>
      </c>
      <c r="CF262">
        <v>0</v>
      </c>
      <c r="CG262">
        <v>0</v>
      </c>
      <c r="CM262">
        <v>0</v>
      </c>
      <c r="CN262" t="s">
        <v>3</v>
      </c>
      <c r="CO262">
        <v>0</v>
      </c>
      <c r="CP262">
        <f t="shared" si="234"/>
        <v>16042.12</v>
      </c>
      <c r="CQ262">
        <f t="shared" si="235"/>
        <v>0</v>
      </c>
      <c r="CR262">
        <f>(ROUND((ROUND(((ET262)*AV262*1),2)*BB262),2)+ROUND((ROUND(((AE262-(EU262))*AV262*1),2)*BS262),2))</f>
        <v>216.14</v>
      </c>
      <c r="CS262">
        <f t="shared" si="236"/>
        <v>0</v>
      </c>
      <c r="CT262">
        <f t="shared" si="237"/>
        <v>0</v>
      </c>
      <c r="CU262">
        <f t="shared" si="238"/>
        <v>0</v>
      </c>
      <c r="CV262">
        <f t="shared" si="239"/>
        <v>0</v>
      </c>
      <c r="CW262">
        <f t="shared" si="240"/>
        <v>0</v>
      </c>
      <c r="CX262">
        <f t="shared" si="241"/>
        <v>0</v>
      </c>
      <c r="CY262">
        <f t="shared" si="242"/>
        <v>0</v>
      </c>
      <c r="CZ262">
        <f t="shared" si="243"/>
        <v>0</v>
      </c>
      <c r="DC262" t="s">
        <v>3</v>
      </c>
      <c r="DD262" t="s">
        <v>3</v>
      </c>
      <c r="DE262" t="s">
        <v>3</v>
      </c>
      <c r="DF262" t="s">
        <v>3</v>
      </c>
      <c r="DG262" t="s">
        <v>3</v>
      </c>
      <c r="DH262" t="s">
        <v>3</v>
      </c>
      <c r="DI262" t="s">
        <v>3</v>
      </c>
      <c r="DJ262" t="s">
        <v>3</v>
      </c>
      <c r="DK262" t="s">
        <v>3</v>
      </c>
      <c r="DL262" t="s">
        <v>3</v>
      </c>
      <c r="DM262" t="s">
        <v>3</v>
      </c>
      <c r="DN262">
        <v>0</v>
      </c>
      <c r="DO262">
        <v>0</v>
      </c>
      <c r="DP262">
        <v>1</v>
      </c>
      <c r="DQ262">
        <v>1</v>
      </c>
      <c r="DU262">
        <v>1013</v>
      </c>
      <c r="DV262" t="s">
        <v>60</v>
      </c>
      <c r="DW262" t="s">
        <v>60</v>
      </c>
      <c r="DX262">
        <v>1</v>
      </c>
      <c r="EE262">
        <v>298189186</v>
      </c>
      <c r="EF262">
        <v>150</v>
      </c>
      <c r="EG262" t="s">
        <v>54</v>
      </c>
      <c r="EH262">
        <v>0</v>
      </c>
      <c r="EI262" t="s">
        <v>3</v>
      </c>
      <c r="EJ262">
        <v>4</v>
      </c>
      <c r="EK262">
        <v>1110</v>
      </c>
      <c r="EL262" t="s">
        <v>72</v>
      </c>
      <c r="EM262" t="s">
        <v>73</v>
      </c>
      <c r="EO262" t="s">
        <v>3</v>
      </c>
      <c r="EQ262">
        <v>0</v>
      </c>
      <c r="ER262">
        <v>101</v>
      </c>
      <c r="ES262">
        <v>0</v>
      </c>
      <c r="ET262">
        <v>101</v>
      </c>
      <c r="EU262">
        <v>0</v>
      </c>
      <c r="EV262">
        <v>0</v>
      </c>
      <c r="EW262">
        <v>0</v>
      </c>
      <c r="EX262">
        <v>0</v>
      </c>
      <c r="EY262">
        <v>0</v>
      </c>
      <c r="FQ262">
        <v>0</v>
      </c>
      <c r="FR262">
        <f t="shared" si="244"/>
        <v>0</v>
      </c>
      <c r="FS262">
        <v>0</v>
      </c>
      <c r="FX262">
        <v>0</v>
      </c>
      <c r="FY262">
        <v>0</v>
      </c>
      <c r="GA262" t="s">
        <v>3</v>
      </c>
      <c r="GD262">
        <v>1</v>
      </c>
      <c r="GF262">
        <v>1935715050</v>
      </c>
      <c r="GG262">
        <v>2</v>
      </c>
      <c r="GH262">
        <v>1</v>
      </c>
      <c r="GI262">
        <v>2</v>
      </c>
      <c r="GJ262">
        <v>0</v>
      </c>
      <c r="GK262">
        <v>0</v>
      </c>
      <c r="GL262">
        <f t="shared" si="245"/>
        <v>0</v>
      </c>
      <c r="GM262">
        <f>ROUND(O262+X262+Y262,2)+GX262</f>
        <v>16042.12</v>
      </c>
      <c r="GN262">
        <f>IF(OR(BI262=0,BI262=1),ROUND(O262+X262+Y262,2),0)</f>
        <v>0</v>
      </c>
      <c r="GO262">
        <f>IF(BI262=2,ROUND(O262+X262+Y262,2),0)</f>
        <v>0</v>
      </c>
      <c r="GP262">
        <f>IF(BI262=4,ROUND(O262+X262+Y262,2)+GX262,0)</f>
        <v>16042.12</v>
      </c>
      <c r="GR262">
        <v>0</v>
      </c>
      <c r="GS262">
        <v>0</v>
      </c>
      <c r="GT262">
        <v>0</v>
      </c>
      <c r="GU262" t="s">
        <v>3</v>
      </c>
      <c r="GV262">
        <f t="shared" si="246"/>
        <v>0</v>
      </c>
      <c r="GW262">
        <v>1</v>
      </c>
      <c r="GX262">
        <f t="shared" si="247"/>
        <v>0</v>
      </c>
      <c r="HA262">
        <v>0</v>
      </c>
      <c r="HB262">
        <v>0</v>
      </c>
      <c r="HC262">
        <f t="shared" si="248"/>
        <v>0</v>
      </c>
      <c r="IK262">
        <v>0</v>
      </c>
    </row>
    <row r="264" spans="1:245" x14ac:dyDescent="0.2">
      <c r="A264" s="2">
        <v>51</v>
      </c>
      <c r="B264" s="2">
        <f>B244</f>
        <v>1</v>
      </c>
      <c r="C264" s="2">
        <f>A244</f>
        <v>4</v>
      </c>
      <c r="D264" s="2">
        <f>ROW(A244)</f>
        <v>244</v>
      </c>
      <c r="E264" s="2"/>
      <c r="F264" s="2" t="str">
        <f>IF(F244&lt;&gt;"",F244,"")</f>
        <v>Новый раздел</v>
      </c>
      <c r="G264" s="2" t="str">
        <f>IF(G244&lt;&gt;"",G244,"")</f>
        <v>КАМЕРА БАЙПАСА 3,2*3,2*2,0  - 2шт</v>
      </c>
      <c r="H264" s="2">
        <v>0</v>
      </c>
      <c r="I264" s="2"/>
      <c r="J264" s="2"/>
      <c r="K264" s="2"/>
      <c r="L264" s="2"/>
      <c r="M264" s="2"/>
      <c r="N264" s="2"/>
      <c r="O264" s="2">
        <f t="shared" ref="O264:T264" si="255">ROUND(AB264,2)</f>
        <v>1805953.3</v>
      </c>
      <c r="P264" s="2">
        <f t="shared" si="255"/>
        <v>1657703.91</v>
      </c>
      <c r="Q264" s="2">
        <f t="shared" si="255"/>
        <v>85138.9</v>
      </c>
      <c r="R264" s="2">
        <f t="shared" si="255"/>
        <v>5478.15</v>
      </c>
      <c r="S264" s="2">
        <f t="shared" si="255"/>
        <v>63110.49</v>
      </c>
      <c r="T264" s="2">
        <f t="shared" si="255"/>
        <v>0</v>
      </c>
      <c r="U264" s="2">
        <f>AH264</f>
        <v>244.94775243999999</v>
      </c>
      <c r="V264" s="2">
        <f>AI264</f>
        <v>0</v>
      </c>
      <c r="W264" s="2">
        <f>ROUND(AJ264,2)</f>
        <v>0</v>
      </c>
      <c r="X264" s="2">
        <f>ROUND(AK264,2)</f>
        <v>78188.850000000006</v>
      </c>
      <c r="Y264" s="2">
        <f>ROUND(AL264,2)</f>
        <v>35329.1</v>
      </c>
      <c r="Z264" s="2"/>
      <c r="AA264" s="2"/>
      <c r="AB264" s="2">
        <f>ROUND(SUMIF(AA248:AA262,"=309315610",O248:O262),2)</f>
        <v>1805953.3</v>
      </c>
      <c r="AC264" s="2">
        <f>ROUND(SUMIF(AA248:AA262,"=309315610",P248:P262),2)</f>
        <v>1657703.91</v>
      </c>
      <c r="AD264" s="2">
        <f>ROUND(SUMIF(AA248:AA262,"=309315610",Q248:Q262),2)</f>
        <v>85138.9</v>
      </c>
      <c r="AE264" s="2">
        <f>ROUND(SUMIF(AA248:AA262,"=309315610",R248:R262),2)</f>
        <v>5478.15</v>
      </c>
      <c r="AF264" s="2">
        <f>ROUND(SUMIF(AA248:AA262,"=309315610",S248:S262),2)</f>
        <v>63110.49</v>
      </c>
      <c r="AG264" s="2">
        <f>ROUND(SUMIF(AA248:AA262,"=309315610",T248:T262),2)</f>
        <v>0</v>
      </c>
      <c r="AH264" s="2">
        <f>SUMIF(AA248:AA262,"=309315610",U248:U262)</f>
        <v>244.94775243999999</v>
      </c>
      <c r="AI264" s="2">
        <f>SUMIF(AA248:AA262,"=309315610",V248:V262)</f>
        <v>0</v>
      </c>
      <c r="AJ264" s="2">
        <f>ROUND(SUMIF(AA248:AA262,"=309315610",W248:W262),2)</f>
        <v>0</v>
      </c>
      <c r="AK264" s="2">
        <f>ROUND(SUMIF(AA248:AA262,"=309315610",X248:X262),2)</f>
        <v>78188.850000000006</v>
      </c>
      <c r="AL264" s="2">
        <f>ROUND(SUMIF(AA248:AA262,"=309315610",Y248:Y262),2)</f>
        <v>35329.1</v>
      </c>
      <c r="AM264" s="2"/>
      <c r="AN264" s="2"/>
      <c r="AO264" s="2">
        <f t="shared" ref="AO264:BC264" si="256">ROUND(BX264,2)</f>
        <v>0</v>
      </c>
      <c r="AP264" s="2">
        <f t="shared" si="256"/>
        <v>963789.24</v>
      </c>
      <c r="AQ264" s="2">
        <f t="shared" si="256"/>
        <v>0</v>
      </c>
      <c r="AR264" s="2">
        <f t="shared" si="256"/>
        <v>2705225.7</v>
      </c>
      <c r="AS264" s="2">
        <f t="shared" si="256"/>
        <v>1674688.13</v>
      </c>
      <c r="AT264" s="2">
        <f t="shared" si="256"/>
        <v>0</v>
      </c>
      <c r="AU264" s="2">
        <f t="shared" si="256"/>
        <v>72781.509999999995</v>
      </c>
      <c r="AV264" s="2">
        <f t="shared" si="256"/>
        <v>1657703.91</v>
      </c>
      <c r="AW264" s="2">
        <f t="shared" si="256"/>
        <v>693914.67</v>
      </c>
      <c r="AX264" s="2">
        <f t="shared" si="256"/>
        <v>0</v>
      </c>
      <c r="AY264" s="2">
        <f t="shared" si="256"/>
        <v>693914.67</v>
      </c>
      <c r="AZ264" s="2">
        <f t="shared" si="256"/>
        <v>963789.24</v>
      </c>
      <c r="BA264" s="2">
        <f t="shared" si="256"/>
        <v>-6033.18</v>
      </c>
      <c r="BB264" s="2">
        <f t="shared" si="256"/>
        <v>194162.38</v>
      </c>
      <c r="BC264" s="2">
        <f t="shared" si="256"/>
        <v>589024.56000000006</v>
      </c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>
        <f>ROUND(SUMIF(AA248:AA262,"=309315610",FQ248:FQ262),2)</f>
        <v>0</v>
      </c>
      <c r="BY264" s="2">
        <f>ROUND(SUMIF(AA248:AA262,"=309315610",FR248:FR262),2)</f>
        <v>963789.24</v>
      </c>
      <c r="BZ264" s="2">
        <f>ROUND(SUMIF(AA248:AA262,"=309315610",GL248:GL262),2)</f>
        <v>0</v>
      </c>
      <c r="CA264" s="2">
        <f>ROUND(SUMIF(AA248:AA262,"=309315610",GM248:GM262),2)</f>
        <v>2705225.7</v>
      </c>
      <c r="CB264" s="2">
        <f>ROUND(SUMIF(AA248:AA262,"=309315610",GN248:GN262),2)</f>
        <v>1674688.13</v>
      </c>
      <c r="CC264" s="2">
        <f>ROUND(SUMIF(AA248:AA262,"=309315610",GO248:GO262),2)</f>
        <v>0</v>
      </c>
      <c r="CD264" s="2">
        <f>ROUND(SUMIF(AA248:AA262,"=309315610",GP248:GP262),2)</f>
        <v>72781.509999999995</v>
      </c>
      <c r="CE264" s="2">
        <f>AC264-BX264</f>
        <v>1657703.91</v>
      </c>
      <c r="CF264" s="2">
        <f>AC264-BY264</f>
        <v>693914.66999999993</v>
      </c>
      <c r="CG264" s="2">
        <f>BX264-BZ264</f>
        <v>0</v>
      </c>
      <c r="CH264" s="2">
        <f>AC264-BX264-BY264+BZ264</f>
        <v>693914.66999999993</v>
      </c>
      <c r="CI264" s="2">
        <f>BY264-BZ264</f>
        <v>963789.24</v>
      </c>
      <c r="CJ264" s="2">
        <f>ROUND(SUMIF(AA248:AA262,"=309315610",GX248:GX262),2)</f>
        <v>-6033.18</v>
      </c>
      <c r="CK264" s="2">
        <f>ROUND(SUMIF(AA248:AA262,"=309315610",GY248:GY262),2)</f>
        <v>194162.38</v>
      </c>
      <c r="CL264" s="2">
        <f>ROUND(SUMIF(AA248:AA262,"=309315610",GZ248:GZ262),2)</f>
        <v>589024.56000000006</v>
      </c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3"/>
      <c r="DH264" s="3"/>
      <c r="DI264" s="3"/>
      <c r="DJ264" s="3"/>
      <c r="DK264" s="3"/>
      <c r="DL264" s="3"/>
      <c r="DM264" s="3"/>
      <c r="DN264" s="3"/>
      <c r="DO264" s="3"/>
      <c r="DP264" s="3"/>
      <c r="DQ264" s="3"/>
      <c r="DR264" s="3"/>
      <c r="DS264" s="3"/>
      <c r="DT264" s="3"/>
      <c r="DU264" s="3"/>
      <c r="DV264" s="3"/>
      <c r="DW264" s="3"/>
      <c r="DX264" s="3"/>
      <c r="DY264" s="3"/>
      <c r="DZ264" s="3"/>
      <c r="EA264" s="3"/>
      <c r="EB264" s="3"/>
      <c r="EC264" s="3"/>
      <c r="ED264" s="3"/>
      <c r="EE264" s="3"/>
      <c r="EF264" s="3"/>
      <c r="EG264" s="3"/>
      <c r="EH264" s="3"/>
      <c r="EI264" s="3"/>
      <c r="EJ264" s="3"/>
      <c r="EK264" s="3"/>
      <c r="EL264" s="3"/>
      <c r="EM264" s="3"/>
      <c r="EN264" s="3"/>
      <c r="EO264" s="3"/>
      <c r="EP264" s="3"/>
      <c r="EQ264" s="3"/>
      <c r="ER264" s="3"/>
      <c r="ES264" s="3"/>
      <c r="ET264" s="3"/>
      <c r="EU264" s="3"/>
      <c r="EV264" s="3"/>
      <c r="EW264" s="3"/>
      <c r="EX264" s="3"/>
      <c r="EY264" s="3"/>
      <c r="EZ264" s="3"/>
      <c r="FA264" s="3"/>
      <c r="FB264" s="3"/>
      <c r="FC264" s="3"/>
      <c r="FD264" s="3"/>
      <c r="FE264" s="3"/>
      <c r="FF264" s="3"/>
      <c r="FG264" s="3"/>
      <c r="FH264" s="3"/>
      <c r="FI264" s="3"/>
      <c r="FJ264" s="3"/>
      <c r="FK264" s="3"/>
      <c r="FL264" s="3"/>
      <c r="FM264" s="3"/>
      <c r="FN264" s="3"/>
      <c r="FO264" s="3"/>
      <c r="FP264" s="3"/>
      <c r="FQ264" s="3"/>
      <c r="FR264" s="3"/>
      <c r="FS264" s="3"/>
      <c r="FT264" s="3"/>
      <c r="FU264" s="3"/>
      <c r="FV264" s="3"/>
      <c r="FW264" s="3"/>
      <c r="FX264" s="3"/>
      <c r="FY264" s="3"/>
      <c r="FZ264" s="3"/>
      <c r="GA264" s="3"/>
      <c r="GB264" s="3"/>
      <c r="GC264" s="3"/>
      <c r="GD264" s="3"/>
      <c r="GE264" s="3"/>
      <c r="GF264" s="3"/>
      <c r="GG264" s="3"/>
      <c r="GH264" s="3"/>
      <c r="GI264" s="3"/>
      <c r="GJ264" s="3"/>
      <c r="GK264" s="3"/>
      <c r="GL264" s="3"/>
      <c r="GM264" s="3"/>
      <c r="GN264" s="3"/>
      <c r="GO264" s="3"/>
      <c r="GP264" s="3"/>
      <c r="GQ264" s="3"/>
      <c r="GR264" s="3"/>
      <c r="GS264" s="3"/>
      <c r="GT264" s="3"/>
      <c r="GU264" s="3"/>
      <c r="GV264" s="3"/>
      <c r="GW264" s="3"/>
      <c r="GX264" s="3">
        <v>0</v>
      </c>
    </row>
    <row r="266" spans="1:245" x14ac:dyDescent="0.2">
      <c r="A266" s="4">
        <v>50</v>
      </c>
      <c r="B266" s="4">
        <v>0</v>
      </c>
      <c r="C266" s="4">
        <v>0</v>
      </c>
      <c r="D266" s="4">
        <v>1</v>
      </c>
      <c r="E266" s="4">
        <v>201</v>
      </c>
      <c r="F266" s="4">
        <f>ROUND(Source!O264,O266)</f>
        <v>1805953.3</v>
      </c>
      <c r="G266" s="4" t="s">
        <v>74</v>
      </c>
      <c r="H266" s="4" t="s">
        <v>75</v>
      </c>
      <c r="I266" s="4"/>
      <c r="J266" s="4"/>
      <c r="K266" s="4">
        <v>201</v>
      </c>
      <c r="L266" s="4">
        <v>1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/>
    </row>
    <row r="267" spans="1:245" x14ac:dyDescent="0.2">
      <c r="A267" s="4">
        <v>50</v>
      </c>
      <c r="B267" s="4">
        <v>0</v>
      </c>
      <c r="C267" s="4">
        <v>0</v>
      </c>
      <c r="D267" s="4">
        <v>1</v>
      </c>
      <c r="E267" s="4">
        <v>202</v>
      </c>
      <c r="F267" s="4">
        <f>ROUND(Source!P264,O267)</f>
        <v>1657703.91</v>
      </c>
      <c r="G267" s="4" t="s">
        <v>76</v>
      </c>
      <c r="H267" s="4" t="s">
        <v>77</v>
      </c>
      <c r="I267" s="4"/>
      <c r="J267" s="4"/>
      <c r="K267" s="4">
        <v>202</v>
      </c>
      <c r="L267" s="4">
        <v>2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/>
    </row>
    <row r="268" spans="1:245" x14ac:dyDescent="0.2">
      <c r="A268" s="4">
        <v>50</v>
      </c>
      <c r="B268" s="4">
        <v>0</v>
      </c>
      <c r="C268" s="4">
        <v>0</v>
      </c>
      <c r="D268" s="4">
        <v>1</v>
      </c>
      <c r="E268" s="4">
        <v>222</v>
      </c>
      <c r="F268" s="4">
        <f>ROUND(Source!AO264,O268)</f>
        <v>0</v>
      </c>
      <c r="G268" s="4" t="s">
        <v>78</v>
      </c>
      <c r="H268" s="4" t="s">
        <v>79</v>
      </c>
      <c r="I268" s="4"/>
      <c r="J268" s="4"/>
      <c r="K268" s="4">
        <v>222</v>
      </c>
      <c r="L268" s="4">
        <v>3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/>
    </row>
    <row r="269" spans="1:245" x14ac:dyDescent="0.2">
      <c r="A269" s="4">
        <v>50</v>
      </c>
      <c r="B269" s="4">
        <v>0</v>
      </c>
      <c r="C269" s="4">
        <v>0</v>
      </c>
      <c r="D269" s="4">
        <v>1</v>
      </c>
      <c r="E269" s="4">
        <v>225</v>
      </c>
      <c r="F269" s="4">
        <f>ROUND(Source!AV264,O269)</f>
        <v>1657703.91</v>
      </c>
      <c r="G269" s="4" t="s">
        <v>80</v>
      </c>
      <c r="H269" s="4" t="s">
        <v>81</v>
      </c>
      <c r="I269" s="4"/>
      <c r="J269" s="4"/>
      <c r="K269" s="4">
        <v>225</v>
      </c>
      <c r="L269" s="4">
        <v>4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/>
    </row>
    <row r="270" spans="1:245" x14ac:dyDescent="0.2">
      <c r="A270" s="4">
        <v>50</v>
      </c>
      <c r="B270" s="4">
        <v>0</v>
      </c>
      <c r="C270" s="4">
        <v>0</v>
      </c>
      <c r="D270" s="4">
        <v>1</v>
      </c>
      <c r="E270" s="4">
        <v>226</v>
      </c>
      <c r="F270" s="4">
        <f>ROUND(Source!AW264,O270)</f>
        <v>693914.67</v>
      </c>
      <c r="G270" s="4" t="s">
        <v>82</v>
      </c>
      <c r="H270" s="4" t="s">
        <v>83</v>
      </c>
      <c r="I270" s="4"/>
      <c r="J270" s="4"/>
      <c r="K270" s="4">
        <v>226</v>
      </c>
      <c r="L270" s="4">
        <v>5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/>
    </row>
    <row r="271" spans="1:245" x14ac:dyDescent="0.2">
      <c r="A271" s="4">
        <v>50</v>
      </c>
      <c r="B271" s="4">
        <v>0</v>
      </c>
      <c r="C271" s="4">
        <v>0</v>
      </c>
      <c r="D271" s="4">
        <v>1</v>
      </c>
      <c r="E271" s="4">
        <v>227</v>
      </c>
      <c r="F271" s="4">
        <f>ROUND(Source!AX264,O271)</f>
        <v>0</v>
      </c>
      <c r="G271" s="4" t="s">
        <v>84</v>
      </c>
      <c r="H271" s="4" t="s">
        <v>85</v>
      </c>
      <c r="I271" s="4"/>
      <c r="J271" s="4"/>
      <c r="K271" s="4">
        <v>227</v>
      </c>
      <c r="L271" s="4">
        <v>6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/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228</v>
      </c>
      <c r="F272" s="4">
        <f>ROUND(Source!AY264,O272)</f>
        <v>693914.67</v>
      </c>
      <c r="G272" s="4" t="s">
        <v>86</v>
      </c>
      <c r="H272" s="4" t="s">
        <v>87</v>
      </c>
      <c r="I272" s="4"/>
      <c r="J272" s="4"/>
      <c r="K272" s="4">
        <v>228</v>
      </c>
      <c r="L272" s="4">
        <v>7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/>
    </row>
    <row r="273" spans="1:23" x14ac:dyDescent="0.2">
      <c r="A273" s="4">
        <v>50</v>
      </c>
      <c r="B273" s="4">
        <v>0</v>
      </c>
      <c r="C273" s="4">
        <v>0</v>
      </c>
      <c r="D273" s="4">
        <v>1</v>
      </c>
      <c r="E273" s="4">
        <v>216</v>
      </c>
      <c r="F273" s="4">
        <f>ROUND(Source!AP264,O273)</f>
        <v>963789.24</v>
      </c>
      <c r="G273" s="4" t="s">
        <v>88</v>
      </c>
      <c r="H273" s="4" t="s">
        <v>89</v>
      </c>
      <c r="I273" s="4"/>
      <c r="J273" s="4"/>
      <c r="K273" s="4">
        <v>216</v>
      </c>
      <c r="L273" s="4">
        <v>8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/>
    </row>
    <row r="274" spans="1:23" x14ac:dyDescent="0.2">
      <c r="A274" s="4">
        <v>50</v>
      </c>
      <c r="B274" s="4">
        <v>0</v>
      </c>
      <c r="C274" s="4">
        <v>0</v>
      </c>
      <c r="D274" s="4">
        <v>1</v>
      </c>
      <c r="E274" s="4">
        <v>223</v>
      </c>
      <c r="F274" s="4">
        <f>ROUND(Source!AQ264,O274)</f>
        <v>0</v>
      </c>
      <c r="G274" s="4" t="s">
        <v>90</v>
      </c>
      <c r="H274" s="4" t="s">
        <v>91</v>
      </c>
      <c r="I274" s="4"/>
      <c r="J274" s="4"/>
      <c r="K274" s="4">
        <v>223</v>
      </c>
      <c r="L274" s="4">
        <v>9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/>
    </row>
    <row r="275" spans="1:23" x14ac:dyDescent="0.2">
      <c r="A275" s="4">
        <v>50</v>
      </c>
      <c r="B275" s="4">
        <v>0</v>
      </c>
      <c r="C275" s="4">
        <v>0</v>
      </c>
      <c r="D275" s="4">
        <v>1</v>
      </c>
      <c r="E275" s="4">
        <v>229</v>
      </c>
      <c r="F275" s="4">
        <f>ROUND(Source!AZ264,O275)</f>
        <v>963789.24</v>
      </c>
      <c r="G275" s="4" t="s">
        <v>92</v>
      </c>
      <c r="H275" s="4" t="s">
        <v>93</v>
      </c>
      <c r="I275" s="4"/>
      <c r="J275" s="4"/>
      <c r="K275" s="4">
        <v>229</v>
      </c>
      <c r="L275" s="4">
        <v>10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/>
    </row>
    <row r="276" spans="1:23" x14ac:dyDescent="0.2">
      <c r="A276" s="4">
        <v>50</v>
      </c>
      <c r="B276" s="4">
        <v>0</v>
      </c>
      <c r="C276" s="4">
        <v>0</v>
      </c>
      <c r="D276" s="4">
        <v>1</v>
      </c>
      <c r="E276" s="4">
        <v>203</v>
      </c>
      <c r="F276" s="4">
        <f>ROUND(Source!Q264,O276)</f>
        <v>85138.9</v>
      </c>
      <c r="G276" s="4" t="s">
        <v>94</v>
      </c>
      <c r="H276" s="4" t="s">
        <v>95</v>
      </c>
      <c r="I276" s="4"/>
      <c r="J276" s="4"/>
      <c r="K276" s="4">
        <v>203</v>
      </c>
      <c r="L276" s="4">
        <v>11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/>
    </row>
    <row r="277" spans="1:23" x14ac:dyDescent="0.2">
      <c r="A277" s="4">
        <v>50</v>
      </c>
      <c r="B277" s="4">
        <v>0</v>
      </c>
      <c r="C277" s="4">
        <v>0</v>
      </c>
      <c r="D277" s="4">
        <v>1</v>
      </c>
      <c r="E277" s="4">
        <v>231</v>
      </c>
      <c r="F277" s="4">
        <f>ROUND(Source!BB264,O277)</f>
        <v>194162.38</v>
      </c>
      <c r="G277" s="4" t="s">
        <v>96</v>
      </c>
      <c r="H277" s="4" t="s">
        <v>97</v>
      </c>
      <c r="I277" s="4"/>
      <c r="J277" s="4"/>
      <c r="K277" s="4">
        <v>231</v>
      </c>
      <c r="L277" s="4">
        <v>12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/>
    </row>
    <row r="278" spans="1:23" x14ac:dyDescent="0.2">
      <c r="A278" s="4">
        <v>50</v>
      </c>
      <c r="B278" s="4">
        <v>0</v>
      </c>
      <c r="C278" s="4">
        <v>0</v>
      </c>
      <c r="D278" s="4">
        <v>1</v>
      </c>
      <c r="E278" s="4">
        <v>204</v>
      </c>
      <c r="F278" s="4">
        <f>ROUND(Source!R264,O278)</f>
        <v>5478.15</v>
      </c>
      <c r="G278" s="4" t="s">
        <v>98</v>
      </c>
      <c r="H278" s="4" t="s">
        <v>99</v>
      </c>
      <c r="I278" s="4"/>
      <c r="J278" s="4"/>
      <c r="K278" s="4">
        <v>204</v>
      </c>
      <c r="L278" s="4">
        <v>13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/>
    </row>
    <row r="279" spans="1:23" x14ac:dyDescent="0.2">
      <c r="A279" s="4">
        <v>50</v>
      </c>
      <c r="B279" s="4">
        <v>0</v>
      </c>
      <c r="C279" s="4">
        <v>0</v>
      </c>
      <c r="D279" s="4">
        <v>1</v>
      </c>
      <c r="E279" s="4">
        <v>205</v>
      </c>
      <c r="F279" s="4">
        <f>ROUND(Source!S264,O279)</f>
        <v>63110.49</v>
      </c>
      <c r="G279" s="4" t="s">
        <v>100</v>
      </c>
      <c r="H279" s="4" t="s">
        <v>101</v>
      </c>
      <c r="I279" s="4"/>
      <c r="J279" s="4"/>
      <c r="K279" s="4">
        <v>205</v>
      </c>
      <c r="L279" s="4">
        <v>14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/>
    </row>
    <row r="280" spans="1:23" x14ac:dyDescent="0.2">
      <c r="A280" s="4">
        <v>50</v>
      </c>
      <c r="B280" s="4">
        <v>0</v>
      </c>
      <c r="C280" s="4">
        <v>0</v>
      </c>
      <c r="D280" s="4">
        <v>1</v>
      </c>
      <c r="E280" s="4">
        <v>232</v>
      </c>
      <c r="F280" s="4">
        <f>ROUND(Source!BC264,O280)</f>
        <v>589024.56000000006</v>
      </c>
      <c r="G280" s="4" t="s">
        <v>102</v>
      </c>
      <c r="H280" s="4" t="s">
        <v>103</v>
      </c>
      <c r="I280" s="4"/>
      <c r="J280" s="4"/>
      <c r="K280" s="4">
        <v>232</v>
      </c>
      <c r="L280" s="4">
        <v>15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/>
    </row>
    <row r="281" spans="1:23" x14ac:dyDescent="0.2">
      <c r="A281" s="4">
        <v>50</v>
      </c>
      <c r="B281" s="4">
        <v>0</v>
      </c>
      <c r="C281" s="4">
        <v>0</v>
      </c>
      <c r="D281" s="4">
        <v>1</v>
      </c>
      <c r="E281" s="4">
        <v>214</v>
      </c>
      <c r="F281" s="4">
        <f>ROUND(Source!AS264,O281)</f>
        <v>1674688.13</v>
      </c>
      <c r="G281" s="4" t="s">
        <v>104</v>
      </c>
      <c r="H281" s="4" t="s">
        <v>105</v>
      </c>
      <c r="I281" s="4"/>
      <c r="J281" s="4"/>
      <c r="K281" s="4">
        <v>214</v>
      </c>
      <c r="L281" s="4">
        <v>16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/>
    </row>
    <row r="282" spans="1:23" x14ac:dyDescent="0.2">
      <c r="A282" s="4">
        <v>50</v>
      </c>
      <c r="B282" s="4">
        <v>0</v>
      </c>
      <c r="C282" s="4">
        <v>0</v>
      </c>
      <c r="D282" s="4">
        <v>1</v>
      </c>
      <c r="E282" s="4">
        <v>215</v>
      </c>
      <c r="F282" s="4">
        <f>ROUND(Source!AT264,O282)</f>
        <v>0</v>
      </c>
      <c r="G282" s="4" t="s">
        <v>106</v>
      </c>
      <c r="H282" s="4" t="s">
        <v>107</v>
      </c>
      <c r="I282" s="4"/>
      <c r="J282" s="4"/>
      <c r="K282" s="4">
        <v>215</v>
      </c>
      <c r="L282" s="4">
        <v>17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/>
    </row>
    <row r="283" spans="1:23" x14ac:dyDescent="0.2">
      <c r="A283" s="4">
        <v>50</v>
      </c>
      <c r="B283" s="4">
        <v>0</v>
      </c>
      <c r="C283" s="4">
        <v>0</v>
      </c>
      <c r="D283" s="4">
        <v>1</v>
      </c>
      <c r="E283" s="4">
        <v>217</v>
      </c>
      <c r="F283" s="4">
        <f>ROUND(Source!AU264,O283)</f>
        <v>72781.509999999995</v>
      </c>
      <c r="G283" s="4" t="s">
        <v>108</v>
      </c>
      <c r="H283" s="4" t="s">
        <v>109</v>
      </c>
      <c r="I283" s="4"/>
      <c r="J283" s="4"/>
      <c r="K283" s="4">
        <v>217</v>
      </c>
      <c r="L283" s="4">
        <v>18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/>
    </row>
    <row r="284" spans="1:23" x14ac:dyDescent="0.2">
      <c r="A284" s="4">
        <v>50</v>
      </c>
      <c r="B284" s="4">
        <v>0</v>
      </c>
      <c r="C284" s="4">
        <v>0</v>
      </c>
      <c r="D284" s="4">
        <v>1</v>
      </c>
      <c r="E284" s="4">
        <v>230</v>
      </c>
      <c r="F284" s="4">
        <f>ROUND(Source!BA264,O284)</f>
        <v>-6033.18</v>
      </c>
      <c r="G284" s="4" t="s">
        <v>110</v>
      </c>
      <c r="H284" s="4" t="s">
        <v>111</v>
      </c>
      <c r="I284" s="4"/>
      <c r="J284" s="4"/>
      <c r="K284" s="4">
        <v>230</v>
      </c>
      <c r="L284" s="4">
        <v>19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/>
    </row>
    <row r="285" spans="1:23" x14ac:dyDescent="0.2">
      <c r="A285" s="4">
        <v>50</v>
      </c>
      <c r="B285" s="4">
        <v>0</v>
      </c>
      <c r="C285" s="4">
        <v>0</v>
      </c>
      <c r="D285" s="4">
        <v>1</v>
      </c>
      <c r="E285" s="4">
        <v>206</v>
      </c>
      <c r="F285" s="4">
        <f>ROUND(Source!T264,O285)</f>
        <v>0</v>
      </c>
      <c r="G285" s="4" t="s">
        <v>112</v>
      </c>
      <c r="H285" s="4" t="s">
        <v>113</v>
      </c>
      <c r="I285" s="4"/>
      <c r="J285" s="4"/>
      <c r="K285" s="4">
        <v>206</v>
      </c>
      <c r="L285" s="4">
        <v>20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/>
    </row>
    <row r="286" spans="1:23" x14ac:dyDescent="0.2">
      <c r="A286" s="4">
        <v>50</v>
      </c>
      <c r="B286" s="4">
        <v>0</v>
      </c>
      <c r="C286" s="4">
        <v>0</v>
      </c>
      <c r="D286" s="4">
        <v>1</v>
      </c>
      <c r="E286" s="4">
        <v>207</v>
      </c>
      <c r="F286" s="4">
        <f>Source!U264</f>
        <v>244.94775243999999</v>
      </c>
      <c r="G286" s="4" t="s">
        <v>114</v>
      </c>
      <c r="H286" s="4" t="s">
        <v>115</v>
      </c>
      <c r="I286" s="4"/>
      <c r="J286" s="4"/>
      <c r="K286" s="4">
        <v>207</v>
      </c>
      <c r="L286" s="4">
        <v>21</v>
      </c>
      <c r="M286" s="4">
        <v>3</v>
      </c>
      <c r="N286" s="4" t="s">
        <v>3</v>
      </c>
      <c r="O286" s="4">
        <v>-1</v>
      </c>
      <c r="P286" s="4"/>
      <c r="Q286" s="4"/>
      <c r="R286" s="4"/>
      <c r="S286" s="4"/>
      <c r="T286" s="4"/>
      <c r="U286" s="4"/>
      <c r="V286" s="4"/>
      <c r="W286" s="4"/>
    </row>
    <row r="287" spans="1:23" x14ac:dyDescent="0.2">
      <c r="A287" s="4">
        <v>50</v>
      </c>
      <c r="B287" s="4">
        <v>0</v>
      </c>
      <c r="C287" s="4">
        <v>0</v>
      </c>
      <c r="D287" s="4">
        <v>1</v>
      </c>
      <c r="E287" s="4">
        <v>208</v>
      </c>
      <c r="F287" s="4">
        <f>Source!V264</f>
        <v>0</v>
      </c>
      <c r="G287" s="4" t="s">
        <v>116</v>
      </c>
      <c r="H287" s="4" t="s">
        <v>117</v>
      </c>
      <c r="I287" s="4"/>
      <c r="J287" s="4"/>
      <c r="K287" s="4">
        <v>208</v>
      </c>
      <c r="L287" s="4">
        <v>22</v>
      </c>
      <c r="M287" s="4">
        <v>3</v>
      </c>
      <c r="N287" s="4" t="s">
        <v>3</v>
      </c>
      <c r="O287" s="4">
        <v>-1</v>
      </c>
      <c r="P287" s="4"/>
      <c r="Q287" s="4"/>
      <c r="R287" s="4"/>
      <c r="S287" s="4"/>
      <c r="T287" s="4"/>
      <c r="U287" s="4"/>
      <c r="V287" s="4"/>
      <c r="W287" s="4"/>
    </row>
    <row r="288" spans="1:23" x14ac:dyDescent="0.2">
      <c r="A288" s="4">
        <v>50</v>
      </c>
      <c r="B288" s="4">
        <v>0</v>
      </c>
      <c r="C288" s="4">
        <v>0</v>
      </c>
      <c r="D288" s="4">
        <v>1</v>
      </c>
      <c r="E288" s="4">
        <v>209</v>
      </c>
      <c r="F288" s="4">
        <f>ROUND(Source!W264,O288)</f>
        <v>0</v>
      </c>
      <c r="G288" s="4" t="s">
        <v>118</v>
      </c>
      <c r="H288" s="4" t="s">
        <v>119</v>
      </c>
      <c r="I288" s="4"/>
      <c r="J288" s="4"/>
      <c r="K288" s="4">
        <v>209</v>
      </c>
      <c r="L288" s="4">
        <v>23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/>
    </row>
    <row r="289" spans="1:245" x14ac:dyDescent="0.2">
      <c r="A289" s="4">
        <v>50</v>
      </c>
      <c r="B289" s="4">
        <v>0</v>
      </c>
      <c r="C289" s="4">
        <v>0</v>
      </c>
      <c r="D289" s="4">
        <v>1</v>
      </c>
      <c r="E289" s="4">
        <v>210</v>
      </c>
      <c r="F289" s="4">
        <f>ROUND(Source!X264,O289)</f>
        <v>78188.850000000006</v>
      </c>
      <c r="G289" s="4" t="s">
        <v>120</v>
      </c>
      <c r="H289" s="4" t="s">
        <v>121</v>
      </c>
      <c r="I289" s="4"/>
      <c r="J289" s="4"/>
      <c r="K289" s="4">
        <v>210</v>
      </c>
      <c r="L289" s="4">
        <v>24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/>
    </row>
    <row r="290" spans="1:245" x14ac:dyDescent="0.2">
      <c r="A290" s="4">
        <v>50</v>
      </c>
      <c r="B290" s="4">
        <v>0</v>
      </c>
      <c r="C290" s="4">
        <v>0</v>
      </c>
      <c r="D290" s="4">
        <v>1</v>
      </c>
      <c r="E290" s="4">
        <v>211</v>
      </c>
      <c r="F290" s="4">
        <f>ROUND(Source!Y264,O290)</f>
        <v>35329.1</v>
      </c>
      <c r="G290" s="4" t="s">
        <v>122</v>
      </c>
      <c r="H290" s="4" t="s">
        <v>123</v>
      </c>
      <c r="I290" s="4"/>
      <c r="J290" s="4"/>
      <c r="K290" s="4">
        <v>211</v>
      </c>
      <c r="L290" s="4">
        <v>25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/>
    </row>
    <row r="291" spans="1:245" x14ac:dyDescent="0.2">
      <c r="A291" s="4">
        <v>50</v>
      </c>
      <c r="B291" s="4">
        <v>0</v>
      </c>
      <c r="C291" s="4">
        <v>0</v>
      </c>
      <c r="D291" s="4">
        <v>1</v>
      </c>
      <c r="E291" s="4">
        <v>224</v>
      </c>
      <c r="F291" s="4">
        <f>ROUND(Source!AR264,O291)</f>
        <v>2705225.7</v>
      </c>
      <c r="G291" s="4" t="s">
        <v>124</v>
      </c>
      <c r="H291" s="4" t="s">
        <v>125</v>
      </c>
      <c r="I291" s="4"/>
      <c r="J291" s="4"/>
      <c r="K291" s="4">
        <v>224</v>
      </c>
      <c r="L291" s="4">
        <v>26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/>
    </row>
    <row r="293" spans="1:245" x14ac:dyDescent="0.2">
      <c r="A293" s="1">
        <v>4</v>
      </c>
      <c r="B293" s="1">
        <v>1</v>
      </c>
      <c r="C293" s="1"/>
      <c r="D293" s="1">
        <f>ROW(A300)</f>
        <v>300</v>
      </c>
      <c r="E293" s="1"/>
      <c r="F293" s="1" t="s">
        <v>12</v>
      </c>
      <c r="G293" s="1" t="s">
        <v>289</v>
      </c>
      <c r="H293" s="1" t="s">
        <v>3</v>
      </c>
      <c r="I293" s="1">
        <v>0</v>
      </c>
      <c r="J293" s="1"/>
      <c r="K293" s="1">
        <v>-1</v>
      </c>
      <c r="L293" s="1"/>
      <c r="M293" s="1"/>
      <c r="N293" s="1"/>
      <c r="O293" s="1"/>
      <c r="P293" s="1"/>
      <c r="Q293" s="1"/>
      <c r="R293" s="1"/>
      <c r="S293" s="1"/>
      <c r="T293" s="1"/>
      <c r="U293" s="1" t="s">
        <v>3</v>
      </c>
      <c r="V293" s="1">
        <v>0</v>
      </c>
      <c r="W293" s="1"/>
      <c r="X293" s="1"/>
      <c r="Y293" s="1"/>
      <c r="Z293" s="1"/>
      <c r="AA293" s="1"/>
      <c r="AB293" s="1" t="s">
        <v>3</v>
      </c>
      <c r="AC293" s="1" t="s">
        <v>3</v>
      </c>
      <c r="AD293" s="1" t="s">
        <v>3</v>
      </c>
      <c r="AE293" s="1" t="s">
        <v>3</v>
      </c>
      <c r="AF293" s="1" t="s">
        <v>3</v>
      </c>
      <c r="AG293" s="1" t="s">
        <v>3</v>
      </c>
      <c r="AH293" s="1"/>
      <c r="AI293" s="1"/>
      <c r="AJ293" s="1"/>
      <c r="AK293" s="1"/>
      <c r="AL293" s="1"/>
      <c r="AM293" s="1"/>
      <c r="AN293" s="1"/>
      <c r="AO293" s="1"/>
      <c r="AP293" s="1" t="s">
        <v>3</v>
      </c>
      <c r="AQ293" s="1" t="s">
        <v>3</v>
      </c>
      <c r="AR293" s="1" t="s">
        <v>3</v>
      </c>
      <c r="AS293" s="1"/>
      <c r="AT293" s="1"/>
      <c r="AU293" s="1"/>
      <c r="AV293" s="1"/>
      <c r="AW293" s="1"/>
      <c r="AX293" s="1"/>
      <c r="AY293" s="1"/>
      <c r="AZ293" s="1" t="s">
        <v>3</v>
      </c>
      <c r="BA293" s="1"/>
      <c r="BB293" s="1" t="s">
        <v>3</v>
      </c>
      <c r="BC293" s="1" t="s">
        <v>3</v>
      </c>
      <c r="BD293" s="1" t="s">
        <v>3</v>
      </c>
      <c r="BE293" s="1" t="s">
        <v>3</v>
      </c>
      <c r="BF293" s="1" t="s">
        <v>3</v>
      </c>
      <c r="BG293" s="1" t="s">
        <v>3</v>
      </c>
      <c r="BH293" s="1" t="s">
        <v>3</v>
      </c>
      <c r="BI293" s="1" t="s">
        <v>3</v>
      </c>
      <c r="BJ293" s="1" t="s">
        <v>3</v>
      </c>
      <c r="BK293" s="1" t="s">
        <v>3</v>
      </c>
      <c r="BL293" s="1" t="s">
        <v>3</v>
      </c>
      <c r="BM293" s="1" t="s">
        <v>3</v>
      </c>
      <c r="BN293" s="1" t="s">
        <v>3</v>
      </c>
      <c r="BO293" s="1" t="s">
        <v>3</v>
      </c>
      <c r="BP293" s="1" t="s">
        <v>3</v>
      </c>
      <c r="BQ293" s="1"/>
      <c r="BR293" s="1"/>
      <c r="BS293" s="1"/>
      <c r="BT293" s="1"/>
      <c r="BU293" s="1"/>
      <c r="BV293" s="1"/>
      <c r="BW293" s="1"/>
      <c r="BX293" s="1">
        <v>0</v>
      </c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>
        <v>0</v>
      </c>
    </row>
    <row r="295" spans="1:245" x14ac:dyDescent="0.2">
      <c r="A295" s="2">
        <v>52</v>
      </c>
      <c r="B295" s="2">
        <f t="shared" ref="B295:G295" si="257">B300</f>
        <v>1</v>
      </c>
      <c r="C295" s="2">
        <f t="shared" si="257"/>
        <v>4</v>
      </c>
      <c r="D295" s="2">
        <f t="shared" si="257"/>
        <v>293</v>
      </c>
      <c r="E295" s="2">
        <f t="shared" si="257"/>
        <v>0</v>
      </c>
      <c r="F295" s="2" t="str">
        <f t="shared" si="257"/>
        <v>Новый раздел</v>
      </c>
      <c r="G295" s="2" t="str">
        <f t="shared" si="257"/>
        <v>Цена возможной реализации (Приказ МКЭ-ОД/17-76 от 21.12.2017)</v>
      </c>
      <c r="H295" s="2"/>
      <c r="I295" s="2"/>
      <c r="J295" s="2"/>
      <c r="K295" s="2"/>
      <c r="L295" s="2"/>
      <c r="M295" s="2"/>
      <c r="N295" s="2"/>
      <c r="O295" s="2">
        <f t="shared" ref="O295:AT295" si="258">O300</f>
        <v>0</v>
      </c>
      <c r="P295" s="2">
        <f t="shared" si="258"/>
        <v>0</v>
      </c>
      <c r="Q295" s="2">
        <f t="shared" si="258"/>
        <v>0</v>
      </c>
      <c r="R295" s="2">
        <f t="shared" si="258"/>
        <v>0</v>
      </c>
      <c r="S295" s="2">
        <f t="shared" si="258"/>
        <v>0</v>
      </c>
      <c r="T295" s="2">
        <f t="shared" si="258"/>
        <v>87286.87</v>
      </c>
      <c r="U295" s="2">
        <f t="shared" si="258"/>
        <v>0</v>
      </c>
      <c r="V295" s="2">
        <f t="shared" si="258"/>
        <v>0</v>
      </c>
      <c r="W295" s="2">
        <f t="shared" si="258"/>
        <v>0</v>
      </c>
      <c r="X295" s="2">
        <f t="shared" si="258"/>
        <v>0</v>
      </c>
      <c r="Y295" s="2">
        <f t="shared" si="258"/>
        <v>0</v>
      </c>
      <c r="Z295" s="2">
        <f t="shared" si="258"/>
        <v>0</v>
      </c>
      <c r="AA295" s="2">
        <f t="shared" si="258"/>
        <v>0</v>
      </c>
      <c r="AB295" s="2">
        <f t="shared" si="258"/>
        <v>0</v>
      </c>
      <c r="AC295" s="2">
        <f t="shared" si="258"/>
        <v>0</v>
      </c>
      <c r="AD295" s="2">
        <f t="shared" si="258"/>
        <v>0</v>
      </c>
      <c r="AE295" s="2">
        <f t="shared" si="258"/>
        <v>0</v>
      </c>
      <c r="AF295" s="2">
        <f t="shared" si="258"/>
        <v>0</v>
      </c>
      <c r="AG295" s="2">
        <f t="shared" si="258"/>
        <v>87286.87</v>
      </c>
      <c r="AH295" s="2">
        <f t="shared" si="258"/>
        <v>0</v>
      </c>
      <c r="AI295" s="2">
        <f t="shared" si="258"/>
        <v>0</v>
      </c>
      <c r="AJ295" s="2">
        <f t="shared" si="258"/>
        <v>0</v>
      </c>
      <c r="AK295" s="2">
        <f t="shared" si="258"/>
        <v>0</v>
      </c>
      <c r="AL295" s="2">
        <f t="shared" si="258"/>
        <v>0</v>
      </c>
      <c r="AM295" s="2">
        <f t="shared" si="258"/>
        <v>0</v>
      </c>
      <c r="AN295" s="2">
        <f t="shared" si="258"/>
        <v>0</v>
      </c>
      <c r="AO295" s="2">
        <f t="shared" si="258"/>
        <v>0</v>
      </c>
      <c r="AP295" s="2">
        <f t="shared" si="258"/>
        <v>0</v>
      </c>
      <c r="AQ295" s="2">
        <f t="shared" si="258"/>
        <v>0</v>
      </c>
      <c r="AR295" s="2">
        <f t="shared" si="258"/>
        <v>0</v>
      </c>
      <c r="AS295" s="2">
        <f t="shared" si="258"/>
        <v>0</v>
      </c>
      <c r="AT295" s="2">
        <f t="shared" si="258"/>
        <v>0</v>
      </c>
      <c r="AU295" s="2">
        <f t="shared" ref="AU295:BZ295" si="259">AU300</f>
        <v>0</v>
      </c>
      <c r="AV295" s="2">
        <f t="shared" si="259"/>
        <v>0</v>
      </c>
      <c r="AW295" s="2">
        <f t="shared" si="259"/>
        <v>0</v>
      </c>
      <c r="AX295" s="2">
        <f t="shared" si="259"/>
        <v>0</v>
      </c>
      <c r="AY295" s="2">
        <f t="shared" si="259"/>
        <v>0</v>
      </c>
      <c r="AZ295" s="2">
        <f t="shared" si="259"/>
        <v>0</v>
      </c>
      <c r="BA295" s="2">
        <f t="shared" si="259"/>
        <v>0</v>
      </c>
      <c r="BB295" s="2">
        <f t="shared" si="259"/>
        <v>0</v>
      </c>
      <c r="BC295" s="2">
        <f t="shared" si="259"/>
        <v>0</v>
      </c>
      <c r="BD295" s="2">
        <f t="shared" si="259"/>
        <v>0</v>
      </c>
      <c r="BE295" s="2">
        <f t="shared" si="259"/>
        <v>0</v>
      </c>
      <c r="BF295" s="2">
        <f t="shared" si="259"/>
        <v>0</v>
      </c>
      <c r="BG295" s="2">
        <f t="shared" si="259"/>
        <v>0</v>
      </c>
      <c r="BH295" s="2">
        <f t="shared" si="259"/>
        <v>0</v>
      </c>
      <c r="BI295" s="2">
        <f t="shared" si="259"/>
        <v>0</v>
      </c>
      <c r="BJ295" s="2">
        <f t="shared" si="259"/>
        <v>0</v>
      </c>
      <c r="BK295" s="2">
        <f t="shared" si="259"/>
        <v>0</v>
      </c>
      <c r="BL295" s="2">
        <f t="shared" si="259"/>
        <v>0</v>
      </c>
      <c r="BM295" s="2">
        <f t="shared" si="259"/>
        <v>0</v>
      </c>
      <c r="BN295" s="2">
        <f t="shared" si="259"/>
        <v>0</v>
      </c>
      <c r="BO295" s="2">
        <f t="shared" si="259"/>
        <v>0</v>
      </c>
      <c r="BP295" s="2">
        <f t="shared" si="259"/>
        <v>0</v>
      </c>
      <c r="BQ295" s="2">
        <f t="shared" si="259"/>
        <v>0</v>
      </c>
      <c r="BR295" s="2">
        <f t="shared" si="259"/>
        <v>0</v>
      </c>
      <c r="BS295" s="2">
        <f t="shared" si="259"/>
        <v>0</v>
      </c>
      <c r="BT295" s="2">
        <f t="shared" si="259"/>
        <v>0</v>
      </c>
      <c r="BU295" s="2">
        <f t="shared" si="259"/>
        <v>0</v>
      </c>
      <c r="BV295" s="2">
        <f t="shared" si="259"/>
        <v>0</v>
      </c>
      <c r="BW295" s="2">
        <f t="shared" si="259"/>
        <v>0</v>
      </c>
      <c r="BX295" s="2">
        <f t="shared" si="259"/>
        <v>0</v>
      </c>
      <c r="BY295" s="2">
        <f t="shared" si="259"/>
        <v>0</v>
      </c>
      <c r="BZ295" s="2">
        <f t="shared" si="259"/>
        <v>0</v>
      </c>
      <c r="CA295" s="2">
        <f t="shared" ref="CA295:DF295" si="260">CA300</f>
        <v>0</v>
      </c>
      <c r="CB295" s="2">
        <f t="shared" si="260"/>
        <v>0</v>
      </c>
      <c r="CC295" s="2">
        <f t="shared" si="260"/>
        <v>0</v>
      </c>
      <c r="CD295" s="2">
        <f t="shared" si="260"/>
        <v>0</v>
      </c>
      <c r="CE295" s="2">
        <f t="shared" si="260"/>
        <v>0</v>
      </c>
      <c r="CF295" s="2">
        <f t="shared" si="260"/>
        <v>0</v>
      </c>
      <c r="CG295" s="2">
        <f t="shared" si="260"/>
        <v>0</v>
      </c>
      <c r="CH295" s="2">
        <f t="shared" si="260"/>
        <v>0</v>
      </c>
      <c r="CI295" s="2">
        <f t="shared" si="260"/>
        <v>0</v>
      </c>
      <c r="CJ295" s="2">
        <f t="shared" si="260"/>
        <v>0</v>
      </c>
      <c r="CK295" s="2">
        <f t="shared" si="260"/>
        <v>0</v>
      </c>
      <c r="CL295" s="2">
        <f t="shared" si="260"/>
        <v>0</v>
      </c>
      <c r="CM295" s="2">
        <f t="shared" si="260"/>
        <v>0</v>
      </c>
      <c r="CN295" s="2">
        <f t="shared" si="260"/>
        <v>0</v>
      </c>
      <c r="CO295" s="2">
        <f t="shared" si="260"/>
        <v>0</v>
      </c>
      <c r="CP295" s="2">
        <f t="shared" si="260"/>
        <v>0</v>
      </c>
      <c r="CQ295" s="2">
        <f t="shared" si="260"/>
        <v>0</v>
      </c>
      <c r="CR295" s="2">
        <f t="shared" si="260"/>
        <v>0</v>
      </c>
      <c r="CS295" s="2">
        <f t="shared" si="260"/>
        <v>0</v>
      </c>
      <c r="CT295" s="2">
        <f t="shared" si="260"/>
        <v>0</v>
      </c>
      <c r="CU295" s="2">
        <f t="shared" si="260"/>
        <v>0</v>
      </c>
      <c r="CV295" s="2">
        <f t="shared" si="260"/>
        <v>0</v>
      </c>
      <c r="CW295" s="2">
        <f t="shared" si="260"/>
        <v>0</v>
      </c>
      <c r="CX295" s="2">
        <f t="shared" si="260"/>
        <v>0</v>
      </c>
      <c r="CY295" s="2">
        <f t="shared" si="260"/>
        <v>0</v>
      </c>
      <c r="CZ295" s="2">
        <f t="shared" si="260"/>
        <v>0</v>
      </c>
      <c r="DA295" s="2">
        <f t="shared" si="260"/>
        <v>0</v>
      </c>
      <c r="DB295" s="2">
        <f t="shared" si="260"/>
        <v>0</v>
      </c>
      <c r="DC295" s="2">
        <f t="shared" si="260"/>
        <v>0</v>
      </c>
      <c r="DD295" s="2">
        <f t="shared" si="260"/>
        <v>0</v>
      </c>
      <c r="DE295" s="2">
        <f t="shared" si="260"/>
        <v>0</v>
      </c>
      <c r="DF295" s="2">
        <f t="shared" si="260"/>
        <v>0</v>
      </c>
      <c r="DG295" s="3">
        <f t="shared" ref="DG295:EL295" si="261">DG300</f>
        <v>0</v>
      </c>
      <c r="DH295" s="3">
        <f t="shared" si="261"/>
        <v>0</v>
      </c>
      <c r="DI295" s="3">
        <f t="shared" si="261"/>
        <v>0</v>
      </c>
      <c r="DJ295" s="3">
        <f t="shared" si="261"/>
        <v>0</v>
      </c>
      <c r="DK295" s="3">
        <f t="shared" si="261"/>
        <v>0</v>
      </c>
      <c r="DL295" s="3">
        <f t="shared" si="261"/>
        <v>0</v>
      </c>
      <c r="DM295" s="3">
        <f t="shared" si="261"/>
        <v>0</v>
      </c>
      <c r="DN295" s="3">
        <f t="shared" si="261"/>
        <v>0</v>
      </c>
      <c r="DO295" s="3">
        <f t="shared" si="261"/>
        <v>0</v>
      </c>
      <c r="DP295" s="3">
        <f t="shared" si="261"/>
        <v>0</v>
      </c>
      <c r="DQ295" s="3">
        <f t="shared" si="261"/>
        <v>0</v>
      </c>
      <c r="DR295" s="3">
        <f t="shared" si="261"/>
        <v>0</v>
      </c>
      <c r="DS295" s="3">
        <f t="shared" si="261"/>
        <v>0</v>
      </c>
      <c r="DT295" s="3">
        <f t="shared" si="261"/>
        <v>0</v>
      </c>
      <c r="DU295" s="3">
        <f t="shared" si="261"/>
        <v>0</v>
      </c>
      <c r="DV295" s="3">
        <f t="shared" si="261"/>
        <v>0</v>
      </c>
      <c r="DW295" s="3">
        <f t="shared" si="261"/>
        <v>0</v>
      </c>
      <c r="DX295" s="3">
        <f t="shared" si="261"/>
        <v>0</v>
      </c>
      <c r="DY295" s="3">
        <f t="shared" si="261"/>
        <v>0</v>
      </c>
      <c r="DZ295" s="3">
        <f t="shared" si="261"/>
        <v>0</v>
      </c>
      <c r="EA295" s="3">
        <f t="shared" si="261"/>
        <v>0</v>
      </c>
      <c r="EB295" s="3">
        <f t="shared" si="261"/>
        <v>0</v>
      </c>
      <c r="EC295" s="3">
        <f t="shared" si="261"/>
        <v>0</v>
      </c>
      <c r="ED295" s="3">
        <f t="shared" si="261"/>
        <v>0</v>
      </c>
      <c r="EE295" s="3">
        <f t="shared" si="261"/>
        <v>0</v>
      </c>
      <c r="EF295" s="3">
        <f t="shared" si="261"/>
        <v>0</v>
      </c>
      <c r="EG295" s="3">
        <f t="shared" si="261"/>
        <v>0</v>
      </c>
      <c r="EH295" s="3">
        <f t="shared" si="261"/>
        <v>0</v>
      </c>
      <c r="EI295" s="3">
        <f t="shared" si="261"/>
        <v>0</v>
      </c>
      <c r="EJ295" s="3">
        <f t="shared" si="261"/>
        <v>0</v>
      </c>
      <c r="EK295" s="3">
        <f t="shared" si="261"/>
        <v>0</v>
      </c>
      <c r="EL295" s="3">
        <f t="shared" si="261"/>
        <v>0</v>
      </c>
      <c r="EM295" s="3">
        <f t="shared" ref="EM295:FR295" si="262">EM300</f>
        <v>0</v>
      </c>
      <c r="EN295" s="3">
        <f t="shared" si="262"/>
        <v>0</v>
      </c>
      <c r="EO295" s="3">
        <f t="shared" si="262"/>
        <v>0</v>
      </c>
      <c r="EP295" s="3">
        <f t="shared" si="262"/>
        <v>0</v>
      </c>
      <c r="EQ295" s="3">
        <f t="shared" si="262"/>
        <v>0</v>
      </c>
      <c r="ER295" s="3">
        <f t="shared" si="262"/>
        <v>0</v>
      </c>
      <c r="ES295" s="3">
        <f t="shared" si="262"/>
        <v>0</v>
      </c>
      <c r="ET295" s="3">
        <f t="shared" si="262"/>
        <v>0</v>
      </c>
      <c r="EU295" s="3">
        <f t="shared" si="262"/>
        <v>0</v>
      </c>
      <c r="EV295" s="3">
        <f t="shared" si="262"/>
        <v>0</v>
      </c>
      <c r="EW295" s="3">
        <f t="shared" si="262"/>
        <v>0</v>
      </c>
      <c r="EX295" s="3">
        <f t="shared" si="262"/>
        <v>0</v>
      </c>
      <c r="EY295" s="3">
        <f t="shared" si="262"/>
        <v>0</v>
      </c>
      <c r="EZ295" s="3">
        <f t="shared" si="262"/>
        <v>0</v>
      </c>
      <c r="FA295" s="3">
        <f t="shared" si="262"/>
        <v>0</v>
      </c>
      <c r="FB295" s="3">
        <f t="shared" si="262"/>
        <v>0</v>
      </c>
      <c r="FC295" s="3">
        <f t="shared" si="262"/>
        <v>0</v>
      </c>
      <c r="FD295" s="3">
        <f t="shared" si="262"/>
        <v>0</v>
      </c>
      <c r="FE295" s="3">
        <f t="shared" si="262"/>
        <v>0</v>
      </c>
      <c r="FF295" s="3">
        <f t="shared" si="262"/>
        <v>0</v>
      </c>
      <c r="FG295" s="3">
        <f t="shared" si="262"/>
        <v>0</v>
      </c>
      <c r="FH295" s="3">
        <f t="shared" si="262"/>
        <v>0</v>
      </c>
      <c r="FI295" s="3">
        <f t="shared" si="262"/>
        <v>0</v>
      </c>
      <c r="FJ295" s="3">
        <f t="shared" si="262"/>
        <v>0</v>
      </c>
      <c r="FK295" s="3">
        <f t="shared" si="262"/>
        <v>0</v>
      </c>
      <c r="FL295" s="3">
        <f t="shared" si="262"/>
        <v>0</v>
      </c>
      <c r="FM295" s="3">
        <f t="shared" si="262"/>
        <v>0</v>
      </c>
      <c r="FN295" s="3">
        <f t="shared" si="262"/>
        <v>0</v>
      </c>
      <c r="FO295" s="3">
        <f t="shared" si="262"/>
        <v>0</v>
      </c>
      <c r="FP295" s="3">
        <f t="shared" si="262"/>
        <v>0</v>
      </c>
      <c r="FQ295" s="3">
        <f t="shared" si="262"/>
        <v>0</v>
      </c>
      <c r="FR295" s="3">
        <f t="shared" si="262"/>
        <v>0</v>
      </c>
      <c r="FS295" s="3">
        <f t="shared" ref="FS295:GX295" si="263">FS300</f>
        <v>0</v>
      </c>
      <c r="FT295" s="3">
        <f t="shared" si="263"/>
        <v>0</v>
      </c>
      <c r="FU295" s="3">
        <f t="shared" si="263"/>
        <v>0</v>
      </c>
      <c r="FV295" s="3">
        <f t="shared" si="263"/>
        <v>0</v>
      </c>
      <c r="FW295" s="3">
        <f t="shared" si="263"/>
        <v>0</v>
      </c>
      <c r="FX295" s="3">
        <f t="shared" si="263"/>
        <v>0</v>
      </c>
      <c r="FY295" s="3">
        <f t="shared" si="263"/>
        <v>0</v>
      </c>
      <c r="FZ295" s="3">
        <f t="shared" si="263"/>
        <v>0</v>
      </c>
      <c r="GA295" s="3">
        <f t="shared" si="263"/>
        <v>0</v>
      </c>
      <c r="GB295" s="3">
        <f t="shared" si="263"/>
        <v>0</v>
      </c>
      <c r="GC295" s="3">
        <f t="shared" si="263"/>
        <v>0</v>
      </c>
      <c r="GD295" s="3">
        <f t="shared" si="263"/>
        <v>0</v>
      </c>
      <c r="GE295" s="3">
        <f t="shared" si="263"/>
        <v>0</v>
      </c>
      <c r="GF295" s="3">
        <f t="shared" si="263"/>
        <v>0</v>
      </c>
      <c r="GG295" s="3">
        <f t="shared" si="263"/>
        <v>0</v>
      </c>
      <c r="GH295" s="3">
        <f t="shared" si="263"/>
        <v>0</v>
      </c>
      <c r="GI295" s="3">
        <f t="shared" si="263"/>
        <v>0</v>
      </c>
      <c r="GJ295" s="3">
        <f t="shared" si="263"/>
        <v>0</v>
      </c>
      <c r="GK295" s="3">
        <f t="shared" si="263"/>
        <v>0</v>
      </c>
      <c r="GL295" s="3">
        <f t="shared" si="263"/>
        <v>0</v>
      </c>
      <c r="GM295" s="3">
        <f t="shared" si="263"/>
        <v>0</v>
      </c>
      <c r="GN295" s="3">
        <f t="shared" si="263"/>
        <v>0</v>
      </c>
      <c r="GO295" s="3">
        <f t="shared" si="263"/>
        <v>0</v>
      </c>
      <c r="GP295" s="3">
        <f t="shared" si="263"/>
        <v>0</v>
      </c>
      <c r="GQ295" s="3">
        <f t="shared" si="263"/>
        <v>0</v>
      </c>
      <c r="GR295" s="3">
        <f t="shared" si="263"/>
        <v>0</v>
      </c>
      <c r="GS295" s="3">
        <f t="shared" si="263"/>
        <v>0</v>
      </c>
      <c r="GT295" s="3">
        <f t="shared" si="263"/>
        <v>0</v>
      </c>
      <c r="GU295" s="3">
        <f t="shared" si="263"/>
        <v>0</v>
      </c>
      <c r="GV295" s="3">
        <f t="shared" si="263"/>
        <v>0</v>
      </c>
      <c r="GW295" s="3">
        <f t="shared" si="263"/>
        <v>0</v>
      </c>
      <c r="GX295" s="3">
        <f t="shared" si="263"/>
        <v>0</v>
      </c>
    </row>
    <row r="297" spans="1:245" x14ac:dyDescent="0.2">
      <c r="A297">
        <v>17</v>
      </c>
      <c r="B297">
        <v>1</v>
      </c>
      <c r="E297" t="s">
        <v>290</v>
      </c>
      <c r="F297" t="s">
        <v>291</v>
      </c>
      <c r="G297" t="s">
        <v>292</v>
      </c>
      <c r="H297" t="s">
        <v>29</v>
      </c>
      <c r="I297">
        <f>ROUND(I298,9)</f>
        <v>7.6319999999999997</v>
      </c>
      <c r="J297">
        <v>0</v>
      </c>
      <c r="O297">
        <f>ROUND(CP297*I297,2)</f>
        <v>0</v>
      </c>
      <c r="P297">
        <f>ROUND(CQ297*I297,2)</f>
        <v>0</v>
      </c>
      <c r="Q297">
        <f>ROUND(CR297*I297,2)</f>
        <v>0</v>
      </c>
      <c r="R297">
        <f>ROUND(CS297*I297,2)</f>
        <v>0</v>
      </c>
      <c r="S297">
        <f>ROUND(CT297*I297,2)</f>
        <v>0</v>
      </c>
      <c r="T297">
        <f>ROUND((ROUND((AC297*I297),2)*BC297),2)</f>
        <v>87286.87</v>
      </c>
      <c r="U297">
        <f>CV297*I297</f>
        <v>0</v>
      </c>
      <c r="V297">
        <f>CW297*I297</f>
        <v>0</v>
      </c>
      <c r="W297">
        <f>ROUND(CX297*I297,2)</f>
        <v>0</v>
      </c>
      <c r="X297">
        <f>ROUND(CY297,2)</f>
        <v>0</v>
      </c>
      <c r="Y297">
        <f>ROUND(CZ297,2)</f>
        <v>0</v>
      </c>
      <c r="AA297">
        <v>309315610</v>
      </c>
      <c r="AB297">
        <f>ROUND(0,6)</f>
        <v>0</v>
      </c>
      <c r="AC297">
        <f>ROUND((ES297),6)</f>
        <v>1853.64</v>
      </c>
      <c r="AD297">
        <f>ROUND(0,6)</f>
        <v>0</v>
      </c>
      <c r="AE297">
        <f>ROUND(0,6)</f>
        <v>0</v>
      </c>
      <c r="AF297">
        <f>ROUND(0,6)</f>
        <v>0</v>
      </c>
      <c r="AG297">
        <f>ROUND((ES297),6)</f>
        <v>1853.64</v>
      </c>
      <c r="AH297">
        <f>0</f>
        <v>0</v>
      </c>
      <c r="AI297">
        <f>0</f>
        <v>0</v>
      </c>
      <c r="AJ297">
        <f>0</f>
        <v>0</v>
      </c>
      <c r="AK297">
        <v>1853.64</v>
      </c>
      <c r="AL297">
        <v>1853.64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1</v>
      </c>
      <c r="AW297">
        <v>1</v>
      </c>
      <c r="AZ297">
        <v>1</v>
      </c>
      <c r="BA297">
        <v>1</v>
      </c>
      <c r="BB297">
        <v>1</v>
      </c>
      <c r="BC297">
        <v>6.17</v>
      </c>
      <c r="BD297" t="s">
        <v>3</v>
      </c>
      <c r="BE297" t="s">
        <v>3</v>
      </c>
      <c r="BF297" t="s">
        <v>3</v>
      </c>
      <c r="BG297" t="s">
        <v>3</v>
      </c>
      <c r="BH297">
        <v>3</v>
      </c>
      <c r="BI297">
        <v>1</v>
      </c>
      <c r="BJ297" t="s">
        <v>293</v>
      </c>
      <c r="BM297">
        <v>700000</v>
      </c>
      <c r="BN297">
        <v>0</v>
      </c>
      <c r="BO297" t="s">
        <v>291</v>
      </c>
      <c r="BP297">
        <v>1</v>
      </c>
      <c r="BQ297">
        <v>203</v>
      </c>
      <c r="BR297">
        <v>0</v>
      </c>
      <c r="BS297">
        <v>1</v>
      </c>
      <c r="BT297">
        <v>1</v>
      </c>
      <c r="BU297">
        <v>1</v>
      </c>
      <c r="BV297">
        <v>1</v>
      </c>
      <c r="BW297">
        <v>1</v>
      </c>
      <c r="BX297">
        <v>1</v>
      </c>
      <c r="BY297" t="s">
        <v>3</v>
      </c>
      <c r="BZ297">
        <v>0</v>
      </c>
      <c r="CA297">
        <v>0</v>
      </c>
      <c r="CE297">
        <v>32</v>
      </c>
      <c r="CF297">
        <v>0</v>
      </c>
      <c r="CG297">
        <v>0</v>
      </c>
      <c r="CM297">
        <v>0</v>
      </c>
      <c r="CN297" t="s">
        <v>3</v>
      </c>
      <c r="CO297">
        <v>0</v>
      </c>
      <c r="CP297">
        <f>0</f>
        <v>0</v>
      </c>
      <c r="CQ297">
        <f>0</f>
        <v>0</v>
      </c>
      <c r="CR297">
        <f>0</f>
        <v>0</v>
      </c>
      <c r="CS297">
        <f>0</f>
        <v>0</v>
      </c>
      <c r="CT297">
        <f>0</f>
        <v>0</v>
      </c>
      <c r="CU297">
        <f>ROUND((ROUND((AC297*1),2)*BC297),2)</f>
        <v>11436.96</v>
      </c>
      <c r="CV297">
        <f>0</f>
        <v>0</v>
      </c>
      <c r="CW297">
        <f>0</f>
        <v>0</v>
      </c>
      <c r="CX297">
        <f>0</f>
        <v>0</v>
      </c>
      <c r="CY297">
        <f>S297*(BZ297/100)</f>
        <v>0</v>
      </c>
      <c r="CZ297">
        <f>S297*(CA297/100)</f>
        <v>0</v>
      </c>
      <c r="DC297" t="s">
        <v>3</v>
      </c>
      <c r="DD297" t="s">
        <v>3</v>
      </c>
      <c r="DE297" t="s">
        <v>3</v>
      </c>
      <c r="DF297" t="s">
        <v>3</v>
      </c>
      <c r="DG297" t="s">
        <v>3</v>
      </c>
      <c r="DH297" t="s">
        <v>3</v>
      </c>
      <c r="DI297" t="s">
        <v>3</v>
      </c>
      <c r="DJ297" t="s">
        <v>3</v>
      </c>
      <c r="DK297" t="s">
        <v>3</v>
      </c>
      <c r="DL297" t="s">
        <v>3</v>
      </c>
      <c r="DM297" t="s">
        <v>3</v>
      </c>
      <c r="DN297">
        <v>0</v>
      </c>
      <c r="DO297">
        <v>0</v>
      </c>
      <c r="DP297">
        <v>1</v>
      </c>
      <c r="DQ297">
        <v>1</v>
      </c>
      <c r="DU297">
        <v>1009</v>
      </c>
      <c r="DV297" t="s">
        <v>29</v>
      </c>
      <c r="DW297" t="s">
        <v>29</v>
      </c>
      <c r="DX297">
        <v>1000</v>
      </c>
      <c r="EE297">
        <v>298190087</v>
      </c>
      <c r="EF297">
        <v>203</v>
      </c>
      <c r="EG297" t="s">
        <v>294</v>
      </c>
      <c r="EH297">
        <v>0</v>
      </c>
      <c r="EI297" t="s">
        <v>3</v>
      </c>
      <c r="EJ297">
        <v>1</v>
      </c>
      <c r="EK297">
        <v>700000</v>
      </c>
      <c r="EL297" t="s">
        <v>295</v>
      </c>
      <c r="EM297" t="s">
        <v>296</v>
      </c>
      <c r="EO297" t="s">
        <v>3</v>
      </c>
      <c r="EQ297">
        <v>0</v>
      </c>
      <c r="ER297">
        <v>1853.64</v>
      </c>
      <c r="ES297">
        <v>1853.64</v>
      </c>
      <c r="ET297">
        <v>0</v>
      </c>
      <c r="EU297">
        <v>0</v>
      </c>
      <c r="EV297">
        <v>0</v>
      </c>
      <c r="EW297">
        <v>0</v>
      </c>
      <c r="EX297">
        <v>0</v>
      </c>
      <c r="EY297">
        <v>0</v>
      </c>
      <c r="FQ297">
        <v>0</v>
      </c>
      <c r="FR297">
        <f>ROUND(IF(AND(BH297=3,BI297=3),P297,0),2)</f>
        <v>0</v>
      </c>
      <c r="FS297">
        <v>0</v>
      </c>
      <c r="FX297">
        <v>0</v>
      </c>
      <c r="FY297">
        <v>0</v>
      </c>
      <c r="GA297" t="s">
        <v>3</v>
      </c>
      <c r="GD297">
        <v>0</v>
      </c>
      <c r="GF297">
        <v>1128919494</v>
      </c>
      <c r="GG297">
        <v>2</v>
      </c>
      <c r="GH297">
        <v>1</v>
      </c>
      <c r="GI297">
        <v>2</v>
      </c>
      <c r="GJ297">
        <v>0</v>
      </c>
      <c r="GK297">
        <f>ROUND(R297*(R12)/100,2)</f>
        <v>0</v>
      </c>
      <c r="GL297">
        <f>ROUND(IF(AND(BH297=3,BI297=3,FS297&lt;&gt;0),P297,0),2)</f>
        <v>0</v>
      </c>
      <c r="GM297">
        <f>ROUND(O297+X297+Y297+GK297,2)+GX297</f>
        <v>0</v>
      </c>
      <c r="GN297">
        <f>IF(OR(BI297=0,BI297=1),ROUND(O297+X297+Y297+GK297,2),0)</f>
        <v>0</v>
      </c>
      <c r="GO297">
        <f>IF(BI297=2,ROUND(O297+X297+Y297+GK297,2),0)</f>
        <v>0</v>
      </c>
      <c r="GP297">
        <f>IF(BI297=4,ROUND(O297+X297+Y297+GK297,2)+GX297,0)</f>
        <v>0</v>
      </c>
      <c r="GR297">
        <v>0</v>
      </c>
      <c r="GS297">
        <v>0</v>
      </c>
      <c r="GT297">
        <v>0</v>
      </c>
      <c r="GU297" t="s">
        <v>3</v>
      </c>
      <c r="GV297">
        <f>ROUND((GT297),6)</f>
        <v>0</v>
      </c>
      <c r="GW297">
        <v>1</v>
      </c>
      <c r="GX297">
        <f>ROUND(HC297*I297,2)</f>
        <v>0</v>
      </c>
      <c r="HA297">
        <v>0</v>
      </c>
      <c r="HB297">
        <v>0</v>
      </c>
      <c r="HC297">
        <f>GV297*GW297</f>
        <v>0</v>
      </c>
      <c r="IK297">
        <v>0</v>
      </c>
    </row>
    <row r="298" spans="1:245" x14ac:dyDescent="0.2">
      <c r="A298">
        <v>17</v>
      </c>
      <c r="B298">
        <v>1</v>
      </c>
      <c r="E298" t="s">
        <v>297</v>
      </c>
      <c r="F298" t="s">
        <v>222</v>
      </c>
      <c r="G298" t="s">
        <v>3</v>
      </c>
      <c r="H298" t="s">
        <v>29</v>
      </c>
      <c r="I298">
        <f>ROUND(I205+I206+I210,3)</f>
        <v>7.6319999999999997</v>
      </c>
      <c r="J298">
        <v>0</v>
      </c>
      <c r="O298">
        <f>ROUND(CP298,2)</f>
        <v>0</v>
      </c>
      <c r="P298">
        <f>ROUND((ROUND((AC298*AW298*I298),2)*BC298),2)</f>
        <v>0</v>
      </c>
      <c r="Q298">
        <f>(ROUND((ROUND(((ET298)*AV298*I298),2)*BB298),2)+ROUND((ROUND(((AE298-(EU298))*AV298*I298),2)*BS298),2))</f>
        <v>0</v>
      </c>
      <c r="R298">
        <f>ROUND((ROUND((AE298*AV298*I298),2)*BS298),2)</f>
        <v>0</v>
      </c>
      <c r="S298">
        <f>ROUND((ROUND((AF298*AV298*I298),2)*BA298),2)</f>
        <v>0</v>
      </c>
      <c r="T298">
        <f>ROUND(CU298*I298,2)</f>
        <v>0</v>
      </c>
      <c r="U298">
        <f>CV298*I298</f>
        <v>0</v>
      </c>
      <c r="V298">
        <f>CW298*I298</f>
        <v>0</v>
      </c>
      <c r="W298">
        <f>ROUND(CX298*I298,2)</f>
        <v>0</v>
      </c>
      <c r="X298">
        <f>ROUND(CY298,2)</f>
        <v>0</v>
      </c>
      <c r="Y298">
        <f>ROUND(CZ298,2)</f>
        <v>0</v>
      </c>
      <c r="AA298">
        <v>309315610</v>
      </c>
      <c r="AB298">
        <f>ROUND((AC298+AD298+AF298),6)</f>
        <v>0</v>
      </c>
      <c r="AC298">
        <f>ROUND((ES298),6)</f>
        <v>0</v>
      </c>
      <c r="AD298">
        <f>ROUND((((ET298)-(EU298))+AE298),6)</f>
        <v>0</v>
      </c>
      <c r="AE298">
        <f>ROUND((EU298),6)</f>
        <v>0</v>
      </c>
      <c r="AF298">
        <f>ROUND((EV298),6)</f>
        <v>0</v>
      </c>
      <c r="AG298">
        <f>ROUND((AP298),6)</f>
        <v>0</v>
      </c>
      <c r="AH298">
        <f>(EW298)</f>
        <v>0</v>
      </c>
      <c r="AI298">
        <f>(EX298)</f>
        <v>0</v>
      </c>
      <c r="AJ298">
        <f>(AS298)</f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1</v>
      </c>
      <c r="AW298">
        <v>1</v>
      </c>
      <c r="AZ298">
        <v>1</v>
      </c>
      <c r="BA298">
        <v>1</v>
      </c>
      <c r="BB298">
        <v>1</v>
      </c>
      <c r="BC298">
        <v>1</v>
      </c>
      <c r="BD298" t="s">
        <v>3</v>
      </c>
      <c r="BE298" t="s">
        <v>3</v>
      </c>
      <c r="BF298" t="s">
        <v>3</v>
      </c>
      <c r="BG298" t="s">
        <v>3</v>
      </c>
      <c r="BH298">
        <v>0</v>
      </c>
      <c r="BI298">
        <v>4</v>
      </c>
      <c r="BJ298" t="s">
        <v>3</v>
      </c>
      <c r="BM298">
        <v>0</v>
      </c>
      <c r="BN298">
        <v>0</v>
      </c>
      <c r="BO298" t="s">
        <v>3</v>
      </c>
      <c r="BP298">
        <v>0</v>
      </c>
      <c r="BQ298">
        <v>0</v>
      </c>
      <c r="BR298">
        <v>0</v>
      </c>
      <c r="BS298">
        <v>1</v>
      </c>
      <c r="BT298">
        <v>1</v>
      </c>
      <c r="BU298">
        <v>1</v>
      </c>
      <c r="BV298">
        <v>1</v>
      </c>
      <c r="BW298">
        <v>1</v>
      </c>
      <c r="BX298">
        <v>1</v>
      </c>
      <c r="BY298" t="s">
        <v>3</v>
      </c>
      <c r="BZ298">
        <v>0</v>
      </c>
      <c r="CA298">
        <v>0</v>
      </c>
      <c r="CE298">
        <v>30</v>
      </c>
      <c r="CF298">
        <v>0</v>
      </c>
      <c r="CG298">
        <v>0</v>
      </c>
      <c r="CM298">
        <v>0</v>
      </c>
      <c r="CN298" t="s">
        <v>3</v>
      </c>
      <c r="CO298">
        <v>0</v>
      </c>
      <c r="CP298">
        <f>(P298+Q298+S298)</f>
        <v>0</v>
      </c>
      <c r="CQ298">
        <f>ROUND((ROUND((AC298*AW298*1),2)*BC298),2)</f>
        <v>0</v>
      </c>
      <c r="CR298">
        <f>(ROUND((ROUND(((ET298)*AV298*1),2)*BB298),2)+ROUND((ROUND(((AE298-(EU298))*AV298*1),2)*BS298),2))</f>
        <v>0</v>
      </c>
      <c r="CS298">
        <f>ROUND((ROUND((AE298*AV298*1),2)*BS298),2)</f>
        <v>0</v>
      </c>
      <c r="CT298">
        <f>ROUND((ROUND((AF298*AV298*1),2)*BA298),2)</f>
        <v>0</v>
      </c>
      <c r="CU298">
        <f>AG298</f>
        <v>0</v>
      </c>
      <c r="CV298">
        <f>(AH298*AV298)</f>
        <v>0</v>
      </c>
      <c r="CW298">
        <f>AI298</f>
        <v>0</v>
      </c>
      <c r="CX298">
        <f>AJ298</f>
        <v>0</v>
      </c>
      <c r="CY298">
        <f>S298*(BZ298/100)</f>
        <v>0</v>
      </c>
      <c r="CZ298">
        <f>S298*(CA298/100)</f>
        <v>0</v>
      </c>
      <c r="DC298" t="s">
        <v>3</v>
      </c>
      <c r="DD298" t="s">
        <v>3</v>
      </c>
      <c r="DE298" t="s">
        <v>3</v>
      </c>
      <c r="DF298" t="s">
        <v>3</v>
      </c>
      <c r="DG298" t="s">
        <v>3</v>
      </c>
      <c r="DH298" t="s">
        <v>3</v>
      </c>
      <c r="DI298" t="s">
        <v>3</v>
      </c>
      <c r="DJ298" t="s">
        <v>3</v>
      </c>
      <c r="DK298" t="s">
        <v>3</v>
      </c>
      <c r="DL298" t="s">
        <v>3</v>
      </c>
      <c r="DM298" t="s">
        <v>3</v>
      </c>
      <c r="DN298">
        <v>0</v>
      </c>
      <c r="DO298">
        <v>0</v>
      </c>
      <c r="DP298">
        <v>1</v>
      </c>
      <c r="DQ298">
        <v>1</v>
      </c>
      <c r="DU298">
        <v>1012</v>
      </c>
      <c r="DV298" t="s">
        <v>29</v>
      </c>
      <c r="DW298" t="s">
        <v>220</v>
      </c>
      <c r="DX298">
        <v>1</v>
      </c>
      <c r="EE298">
        <v>298188120</v>
      </c>
      <c r="EF298">
        <v>0</v>
      </c>
      <c r="EG298" t="s">
        <v>3</v>
      </c>
      <c r="EH298">
        <v>0</v>
      </c>
      <c r="EI298" t="s">
        <v>3</v>
      </c>
      <c r="EJ298">
        <v>4</v>
      </c>
      <c r="EK298">
        <v>0</v>
      </c>
      <c r="EL298" t="s">
        <v>298</v>
      </c>
      <c r="EM298" t="s">
        <v>299</v>
      </c>
      <c r="EO298" t="s">
        <v>3</v>
      </c>
      <c r="EQ298">
        <v>0</v>
      </c>
      <c r="ER298">
        <v>0</v>
      </c>
      <c r="ES298">
        <v>0</v>
      </c>
      <c r="ET298">
        <v>0</v>
      </c>
      <c r="EU298">
        <v>0</v>
      </c>
      <c r="EV298">
        <v>0</v>
      </c>
      <c r="EW298">
        <v>0</v>
      </c>
      <c r="EX298">
        <v>0</v>
      </c>
      <c r="EY298">
        <v>0</v>
      </c>
      <c r="FQ298">
        <v>0</v>
      </c>
      <c r="FR298">
        <f>ROUND(IF(AND(BH298=3,BI298=3),P298,0),2)</f>
        <v>0</v>
      </c>
      <c r="FS298">
        <v>0</v>
      </c>
      <c r="FX298">
        <v>0</v>
      </c>
      <c r="FY298">
        <v>0</v>
      </c>
      <c r="GA298" t="s">
        <v>3</v>
      </c>
      <c r="GD298">
        <v>1</v>
      </c>
      <c r="GF298">
        <v>1424677710</v>
      </c>
      <c r="GG298">
        <v>2</v>
      </c>
      <c r="GH298">
        <v>0</v>
      </c>
      <c r="GI298">
        <v>-2</v>
      </c>
      <c r="GJ298">
        <v>0</v>
      </c>
      <c r="GK298">
        <v>0</v>
      </c>
      <c r="GL298">
        <f>ROUND(IF(AND(BH298=3,BI298=3,FS298&lt;&gt;0),P298,0),2)</f>
        <v>0</v>
      </c>
      <c r="GM298">
        <f>ROUND(O298+X298+Y298,2)+GX298</f>
        <v>0</v>
      </c>
      <c r="GN298">
        <f>IF(OR(BI298=0,BI298=1),ROUND(O298+X298+Y298,2),0)</f>
        <v>0</v>
      </c>
      <c r="GO298">
        <f>IF(BI298=2,ROUND(O298+X298+Y298,2),0)</f>
        <v>0</v>
      </c>
      <c r="GP298">
        <f>IF(BI298=4,ROUND(O298+X298+Y298,2)+GX298,0)</f>
        <v>0</v>
      </c>
      <c r="GR298">
        <v>0</v>
      </c>
      <c r="GS298">
        <v>0</v>
      </c>
      <c r="GT298">
        <v>0</v>
      </c>
      <c r="GU298" t="s">
        <v>3</v>
      </c>
      <c r="GV298">
        <f>ROUND((GT298),6)</f>
        <v>0</v>
      </c>
      <c r="GW298">
        <v>1</v>
      </c>
      <c r="GX298">
        <f>ROUND(HC298*I298,2)</f>
        <v>0</v>
      </c>
      <c r="HA298">
        <v>0</v>
      </c>
      <c r="HB298">
        <v>0</v>
      </c>
      <c r="HC298">
        <f>GV298*GW298</f>
        <v>0</v>
      </c>
      <c r="IK298">
        <v>0</v>
      </c>
    </row>
    <row r="300" spans="1:245" x14ac:dyDescent="0.2">
      <c r="A300" s="2">
        <v>51</v>
      </c>
      <c r="B300" s="2">
        <f>B293</f>
        <v>1</v>
      </c>
      <c r="C300" s="2">
        <f>A293</f>
        <v>4</v>
      </c>
      <c r="D300" s="2">
        <f>ROW(A293)</f>
        <v>293</v>
      </c>
      <c r="E300" s="2"/>
      <c r="F300" s="2" t="str">
        <f>IF(F293&lt;&gt;"",F293,"")</f>
        <v>Новый раздел</v>
      </c>
      <c r="G300" s="2" t="str">
        <f>IF(G293&lt;&gt;"",G293,"")</f>
        <v>Цена возможной реализации (Приказ МКЭ-ОД/17-76 от 21.12.2017)</v>
      </c>
      <c r="H300" s="2">
        <v>0</v>
      </c>
      <c r="I300" s="2"/>
      <c r="J300" s="2"/>
      <c r="K300" s="2"/>
      <c r="L300" s="2"/>
      <c r="M300" s="2"/>
      <c r="N300" s="2"/>
      <c r="O300" s="2">
        <f t="shared" ref="O300:T300" si="264">ROUND(AB300,2)</f>
        <v>0</v>
      </c>
      <c r="P300" s="2">
        <f t="shared" si="264"/>
        <v>0</v>
      </c>
      <c r="Q300" s="2">
        <f t="shared" si="264"/>
        <v>0</v>
      </c>
      <c r="R300" s="2">
        <f t="shared" si="264"/>
        <v>0</v>
      </c>
      <c r="S300" s="2">
        <f t="shared" si="264"/>
        <v>0</v>
      </c>
      <c r="T300" s="2">
        <f t="shared" si="264"/>
        <v>87286.87</v>
      </c>
      <c r="U300" s="2">
        <f>AH300</f>
        <v>0</v>
      </c>
      <c r="V300" s="2">
        <f>AI300</f>
        <v>0</v>
      </c>
      <c r="W300" s="2">
        <f>ROUND(AJ300,2)</f>
        <v>0</v>
      </c>
      <c r="X300" s="2">
        <f>ROUND(AK300,2)</f>
        <v>0</v>
      </c>
      <c r="Y300" s="2">
        <f>ROUND(AL300,2)</f>
        <v>0</v>
      </c>
      <c r="Z300" s="2"/>
      <c r="AA300" s="2"/>
      <c r="AB300" s="2">
        <f>ROUND(SUMIF(AA297:AA298,"=309315610",O297:O298),2)</f>
        <v>0</v>
      </c>
      <c r="AC300" s="2">
        <f>ROUND(SUMIF(AA297:AA298,"=309315610",P297:P298),2)</f>
        <v>0</v>
      </c>
      <c r="AD300" s="2">
        <f>ROUND(SUMIF(AA297:AA298,"=309315610",Q297:Q298),2)</f>
        <v>0</v>
      </c>
      <c r="AE300" s="2">
        <f>ROUND(SUMIF(AA297:AA298,"=309315610",R297:R298),2)</f>
        <v>0</v>
      </c>
      <c r="AF300" s="2">
        <f>ROUND(SUMIF(AA297:AA298,"=309315610",S297:S298),2)</f>
        <v>0</v>
      </c>
      <c r="AG300" s="2">
        <f>ROUND(SUMIF(AA297:AA298,"=309315610",T297:T298),2)</f>
        <v>87286.87</v>
      </c>
      <c r="AH300" s="2">
        <f>SUMIF(AA297:AA298,"=309315610",U297:U298)</f>
        <v>0</v>
      </c>
      <c r="AI300" s="2">
        <f>SUMIF(AA297:AA298,"=309315610",V297:V298)</f>
        <v>0</v>
      </c>
      <c r="AJ300" s="2">
        <f>ROUND(SUMIF(AA297:AA298,"=309315610",W297:W298),2)</f>
        <v>0</v>
      </c>
      <c r="AK300" s="2">
        <f>ROUND(SUMIF(AA297:AA298,"=309315610",X297:X298),2)</f>
        <v>0</v>
      </c>
      <c r="AL300" s="2">
        <f>ROUND(SUMIF(AA297:AA298,"=309315610",Y297:Y298),2)</f>
        <v>0</v>
      </c>
      <c r="AM300" s="2"/>
      <c r="AN300" s="2"/>
      <c r="AO300" s="2">
        <f t="shared" ref="AO300:BC300" si="265">ROUND(BX300,2)</f>
        <v>0</v>
      </c>
      <c r="AP300" s="2">
        <f t="shared" si="265"/>
        <v>0</v>
      </c>
      <c r="AQ300" s="2">
        <f t="shared" si="265"/>
        <v>0</v>
      </c>
      <c r="AR300" s="2">
        <f t="shared" si="265"/>
        <v>0</v>
      </c>
      <c r="AS300" s="2">
        <f t="shared" si="265"/>
        <v>0</v>
      </c>
      <c r="AT300" s="2">
        <f t="shared" si="265"/>
        <v>0</v>
      </c>
      <c r="AU300" s="2">
        <f t="shared" si="265"/>
        <v>0</v>
      </c>
      <c r="AV300" s="2">
        <f t="shared" si="265"/>
        <v>0</v>
      </c>
      <c r="AW300" s="2">
        <f t="shared" si="265"/>
        <v>0</v>
      </c>
      <c r="AX300" s="2">
        <f t="shared" si="265"/>
        <v>0</v>
      </c>
      <c r="AY300" s="2">
        <f t="shared" si="265"/>
        <v>0</v>
      </c>
      <c r="AZ300" s="2">
        <f t="shared" si="265"/>
        <v>0</v>
      </c>
      <c r="BA300" s="2">
        <f t="shared" si="265"/>
        <v>0</v>
      </c>
      <c r="BB300" s="2">
        <f t="shared" si="265"/>
        <v>0</v>
      </c>
      <c r="BC300" s="2">
        <f t="shared" si="265"/>
        <v>0</v>
      </c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>
        <f>ROUND(SUMIF(AA297:AA298,"=309315610",FQ297:FQ298),2)</f>
        <v>0</v>
      </c>
      <c r="BY300" s="2">
        <f>ROUND(SUMIF(AA297:AA298,"=309315610",FR297:FR298),2)</f>
        <v>0</v>
      </c>
      <c r="BZ300" s="2">
        <f>ROUND(SUMIF(AA297:AA298,"=309315610",GL297:GL298),2)</f>
        <v>0</v>
      </c>
      <c r="CA300" s="2">
        <f>ROUND(SUMIF(AA297:AA298,"=309315610",GM297:GM298),2)</f>
        <v>0</v>
      </c>
      <c r="CB300" s="2">
        <f>ROUND(SUMIF(AA297:AA298,"=309315610",GN297:GN298),2)</f>
        <v>0</v>
      </c>
      <c r="CC300" s="2">
        <f>ROUND(SUMIF(AA297:AA298,"=309315610",GO297:GO298),2)</f>
        <v>0</v>
      </c>
      <c r="CD300" s="2">
        <f>ROUND(SUMIF(AA297:AA298,"=309315610",GP297:GP298),2)</f>
        <v>0</v>
      </c>
      <c r="CE300" s="2">
        <f>AC300-BX300</f>
        <v>0</v>
      </c>
      <c r="CF300" s="2">
        <f>AC300-BY300</f>
        <v>0</v>
      </c>
      <c r="CG300" s="2">
        <f>BX300-BZ300</f>
        <v>0</v>
      </c>
      <c r="CH300" s="2">
        <f>AC300-BX300-BY300+BZ300</f>
        <v>0</v>
      </c>
      <c r="CI300" s="2">
        <f>BY300-BZ300</f>
        <v>0</v>
      </c>
      <c r="CJ300" s="2">
        <f>ROUND(SUMIF(AA297:AA298,"=309315610",GX297:GX298),2)</f>
        <v>0</v>
      </c>
      <c r="CK300" s="2">
        <f>ROUND(SUMIF(AA297:AA298,"=309315610",GY297:GY298),2)</f>
        <v>0</v>
      </c>
      <c r="CL300" s="2">
        <f>ROUND(SUMIF(AA297:AA298,"=309315610",GZ297:GZ298),2)</f>
        <v>0</v>
      </c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3"/>
      <c r="DH300" s="3"/>
      <c r="DI300" s="3"/>
      <c r="DJ300" s="3"/>
      <c r="DK300" s="3"/>
      <c r="DL300" s="3"/>
      <c r="DM300" s="3"/>
      <c r="DN300" s="3"/>
      <c r="DO300" s="3"/>
      <c r="DP300" s="3"/>
      <c r="DQ300" s="3"/>
      <c r="DR300" s="3"/>
      <c r="DS300" s="3"/>
      <c r="DT300" s="3"/>
      <c r="DU300" s="3"/>
      <c r="DV300" s="3"/>
      <c r="DW300" s="3"/>
      <c r="DX300" s="3"/>
      <c r="DY300" s="3"/>
      <c r="DZ300" s="3"/>
      <c r="EA300" s="3"/>
      <c r="EB300" s="3"/>
      <c r="EC300" s="3"/>
      <c r="ED300" s="3"/>
      <c r="EE300" s="3"/>
      <c r="EF300" s="3"/>
      <c r="EG300" s="3"/>
      <c r="EH300" s="3"/>
      <c r="EI300" s="3"/>
      <c r="EJ300" s="3"/>
      <c r="EK300" s="3"/>
      <c r="EL300" s="3"/>
      <c r="EM300" s="3"/>
      <c r="EN300" s="3"/>
      <c r="EO300" s="3"/>
      <c r="EP300" s="3"/>
      <c r="EQ300" s="3"/>
      <c r="ER300" s="3"/>
      <c r="ES300" s="3"/>
      <c r="ET300" s="3"/>
      <c r="EU300" s="3"/>
      <c r="EV300" s="3"/>
      <c r="EW300" s="3"/>
      <c r="EX300" s="3"/>
      <c r="EY300" s="3"/>
      <c r="EZ300" s="3"/>
      <c r="FA300" s="3"/>
      <c r="FB300" s="3"/>
      <c r="FC300" s="3"/>
      <c r="FD300" s="3"/>
      <c r="FE300" s="3"/>
      <c r="FF300" s="3"/>
      <c r="FG300" s="3"/>
      <c r="FH300" s="3"/>
      <c r="FI300" s="3"/>
      <c r="FJ300" s="3"/>
      <c r="FK300" s="3"/>
      <c r="FL300" s="3"/>
      <c r="FM300" s="3"/>
      <c r="FN300" s="3"/>
      <c r="FO300" s="3"/>
      <c r="FP300" s="3"/>
      <c r="FQ300" s="3"/>
      <c r="FR300" s="3"/>
      <c r="FS300" s="3"/>
      <c r="FT300" s="3"/>
      <c r="FU300" s="3"/>
      <c r="FV300" s="3"/>
      <c r="FW300" s="3"/>
      <c r="FX300" s="3"/>
      <c r="FY300" s="3"/>
      <c r="FZ300" s="3"/>
      <c r="GA300" s="3"/>
      <c r="GB300" s="3"/>
      <c r="GC300" s="3"/>
      <c r="GD300" s="3"/>
      <c r="GE300" s="3"/>
      <c r="GF300" s="3"/>
      <c r="GG300" s="3"/>
      <c r="GH300" s="3"/>
      <c r="GI300" s="3"/>
      <c r="GJ300" s="3"/>
      <c r="GK300" s="3"/>
      <c r="GL300" s="3"/>
      <c r="GM300" s="3"/>
      <c r="GN300" s="3"/>
      <c r="GO300" s="3"/>
      <c r="GP300" s="3"/>
      <c r="GQ300" s="3"/>
      <c r="GR300" s="3"/>
      <c r="GS300" s="3"/>
      <c r="GT300" s="3"/>
      <c r="GU300" s="3"/>
      <c r="GV300" s="3"/>
      <c r="GW300" s="3"/>
      <c r="GX300" s="3">
        <v>0</v>
      </c>
    </row>
    <row r="302" spans="1:245" x14ac:dyDescent="0.2">
      <c r="A302" s="4">
        <v>50</v>
      </c>
      <c r="B302" s="4">
        <v>0</v>
      </c>
      <c r="C302" s="4">
        <v>0</v>
      </c>
      <c r="D302" s="4">
        <v>1</v>
      </c>
      <c r="E302" s="4">
        <v>201</v>
      </c>
      <c r="F302" s="4">
        <f>ROUND(Source!O300,O302)</f>
        <v>0</v>
      </c>
      <c r="G302" s="4" t="s">
        <v>74</v>
      </c>
      <c r="H302" s="4" t="s">
        <v>75</v>
      </c>
      <c r="I302" s="4"/>
      <c r="J302" s="4"/>
      <c r="K302" s="4">
        <v>201</v>
      </c>
      <c r="L302" s="4">
        <v>1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/>
    </row>
    <row r="303" spans="1:245" x14ac:dyDescent="0.2">
      <c r="A303" s="4">
        <v>50</v>
      </c>
      <c r="B303" s="4">
        <v>0</v>
      </c>
      <c r="C303" s="4">
        <v>0</v>
      </c>
      <c r="D303" s="4">
        <v>1</v>
      </c>
      <c r="E303" s="4">
        <v>202</v>
      </c>
      <c r="F303" s="4">
        <f>ROUND(Source!P300,O303)</f>
        <v>0</v>
      </c>
      <c r="G303" s="4" t="s">
        <v>76</v>
      </c>
      <c r="H303" s="4" t="s">
        <v>77</v>
      </c>
      <c r="I303" s="4"/>
      <c r="J303" s="4"/>
      <c r="K303" s="4">
        <v>202</v>
      </c>
      <c r="L303" s="4">
        <v>2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/>
    </row>
    <row r="304" spans="1:245" x14ac:dyDescent="0.2">
      <c r="A304" s="4">
        <v>50</v>
      </c>
      <c r="B304" s="4">
        <v>0</v>
      </c>
      <c r="C304" s="4">
        <v>0</v>
      </c>
      <c r="D304" s="4">
        <v>1</v>
      </c>
      <c r="E304" s="4">
        <v>222</v>
      </c>
      <c r="F304" s="4">
        <f>ROUND(Source!AO300,O304)</f>
        <v>0</v>
      </c>
      <c r="G304" s="4" t="s">
        <v>78</v>
      </c>
      <c r="H304" s="4" t="s">
        <v>79</v>
      </c>
      <c r="I304" s="4"/>
      <c r="J304" s="4"/>
      <c r="K304" s="4">
        <v>222</v>
      </c>
      <c r="L304" s="4">
        <v>3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/>
    </row>
    <row r="305" spans="1:23" x14ac:dyDescent="0.2">
      <c r="A305" s="4">
        <v>50</v>
      </c>
      <c r="B305" s="4">
        <v>0</v>
      </c>
      <c r="C305" s="4">
        <v>0</v>
      </c>
      <c r="D305" s="4">
        <v>1</v>
      </c>
      <c r="E305" s="4">
        <v>225</v>
      </c>
      <c r="F305" s="4">
        <f>ROUND(Source!AV300,O305)</f>
        <v>0</v>
      </c>
      <c r="G305" s="4" t="s">
        <v>80</v>
      </c>
      <c r="H305" s="4" t="s">
        <v>81</v>
      </c>
      <c r="I305" s="4"/>
      <c r="J305" s="4"/>
      <c r="K305" s="4">
        <v>225</v>
      </c>
      <c r="L305" s="4">
        <v>4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/>
    </row>
    <row r="306" spans="1:23" x14ac:dyDescent="0.2">
      <c r="A306" s="4">
        <v>50</v>
      </c>
      <c r="B306" s="4">
        <v>0</v>
      </c>
      <c r="C306" s="4">
        <v>0</v>
      </c>
      <c r="D306" s="4">
        <v>1</v>
      </c>
      <c r="E306" s="4">
        <v>226</v>
      </c>
      <c r="F306" s="4">
        <f>ROUND(Source!AW300,O306)</f>
        <v>0</v>
      </c>
      <c r="G306" s="4" t="s">
        <v>82</v>
      </c>
      <c r="H306" s="4" t="s">
        <v>83</v>
      </c>
      <c r="I306" s="4"/>
      <c r="J306" s="4"/>
      <c r="K306" s="4">
        <v>226</v>
      </c>
      <c r="L306" s="4">
        <v>5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/>
    </row>
    <row r="307" spans="1:23" x14ac:dyDescent="0.2">
      <c r="A307" s="4">
        <v>50</v>
      </c>
      <c r="B307" s="4">
        <v>0</v>
      </c>
      <c r="C307" s="4">
        <v>0</v>
      </c>
      <c r="D307" s="4">
        <v>1</v>
      </c>
      <c r="E307" s="4">
        <v>227</v>
      </c>
      <c r="F307" s="4">
        <f>ROUND(Source!AX300,O307)</f>
        <v>0</v>
      </c>
      <c r="G307" s="4" t="s">
        <v>84</v>
      </c>
      <c r="H307" s="4" t="s">
        <v>85</v>
      </c>
      <c r="I307" s="4"/>
      <c r="J307" s="4"/>
      <c r="K307" s="4">
        <v>227</v>
      </c>
      <c r="L307" s="4">
        <v>6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/>
    </row>
    <row r="308" spans="1:23" x14ac:dyDescent="0.2">
      <c r="A308" s="4">
        <v>50</v>
      </c>
      <c r="B308" s="4">
        <v>0</v>
      </c>
      <c r="C308" s="4">
        <v>0</v>
      </c>
      <c r="D308" s="4">
        <v>1</v>
      </c>
      <c r="E308" s="4">
        <v>228</v>
      </c>
      <c r="F308" s="4">
        <f>ROUND(Source!AY300,O308)</f>
        <v>0</v>
      </c>
      <c r="G308" s="4" t="s">
        <v>86</v>
      </c>
      <c r="H308" s="4" t="s">
        <v>87</v>
      </c>
      <c r="I308" s="4"/>
      <c r="J308" s="4"/>
      <c r="K308" s="4">
        <v>228</v>
      </c>
      <c r="L308" s="4">
        <v>7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/>
    </row>
    <row r="309" spans="1:23" x14ac:dyDescent="0.2">
      <c r="A309" s="4">
        <v>50</v>
      </c>
      <c r="B309" s="4">
        <v>0</v>
      </c>
      <c r="C309" s="4">
        <v>0</v>
      </c>
      <c r="D309" s="4">
        <v>1</v>
      </c>
      <c r="E309" s="4">
        <v>216</v>
      </c>
      <c r="F309" s="4">
        <f>ROUND(Source!AP300,O309)</f>
        <v>0</v>
      </c>
      <c r="G309" s="4" t="s">
        <v>88</v>
      </c>
      <c r="H309" s="4" t="s">
        <v>89</v>
      </c>
      <c r="I309" s="4"/>
      <c r="J309" s="4"/>
      <c r="K309" s="4">
        <v>216</v>
      </c>
      <c r="L309" s="4">
        <v>8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/>
    </row>
    <row r="310" spans="1:23" x14ac:dyDescent="0.2">
      <c r="A310" s="4">
        <v>50</v>
      </c>
      <c r="B310" s="4">
        <v>0</v>
      </c>
      <c r="C310" s="4">
        <v>0</v>
      </c>
      <c r="D310" s="4">
        <v>1</v>
      </c>
      <c r="E310" s="4">
        <v>223</v>
      </c>
      <c r="F310" s="4">
        <f>ROUND(Source!AQ300,O310)</f>
        <v>0</v>
      </c>
      <c r="G310" s="4" t="s">
        <v>90</v>
      </c>
      <c r="H310" s="4" t="s">
        <v>91</v>
      </c>
      <c r="I310" s="4"/>
      <c r="J310" s="4"/>
      <c r="K310" s="4">
        <v>223</v>
      </c>
      <c r="L310" s="4">
        <v>9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/>
    </row>
    <row r="311" spans="1:23" x14ac:dyDescent="0.2">
      <c r="A311" s="4">
        <v>50</v>
      </c>
      <c r="B311" s="4">
        <v>0</v>
      </c>
      <c r="C311" s="4">
        <v>0</v>
      </c>
      <c r="D311" s="4">
        <v>1</v>
      </c>
      <c r="E311" s="4">
        <v>229</v>
      </c>
      <c r="F311" s="4">
        <f>ROUND(Source!AZ300,O311)</f>
        <v>0</v>
      </c>
      <c r="G311" s="4" t="s">
        <v>92</v>
      </c>
      <c r="H311" s="4" t="s">
        <v>93</v>
      </c>
      <c r="I311" s="4"/>
      <c r="J311" s="4"/>
      <c r="K311" s="4">
        <v>229</v>
      </c>
      <c r="L311" s="4">
        <v>10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/>
    </row>
    <row r="312" spans="1:23" x14ac:dyDescent="0.2">
      <c r="A312" s="4">
        <v>50</v>
      </c>
      <c r="B312" s="4">
        <v>0</v>
      </c>
      <c r="C312" s="4">
        <v>0</v>
      </c>
      <c r="D312" s="4">
        <v>1</v>
      </c>
      <c r="E312" s="4">
        <v>203</v>
      </c>
      <c r="F312" s="4">
        <f>ROUND(Source!Q300,O312)</f>
        <v>0</v>
      </c>
      <c r="G312" s="4" t="s">
        <v>94</v>
      </c>
      <c r="H312" s="4" t="s">
        <v>95</v>
      </c>
      <c r="I312" s="4"/>
      <c r="J312" s="4"/>
      <c r="K312" s="4">
        <v>203</v>
      </c>
      <c r="L312" s="4">
        <v>11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/>
    </row>
    <row r="313" spans="1:23" x14ac:dyDescent="0.2">
      <c r="A313" s="4">
        <v>50</v>
      </c>
      <c r="B313" s="4">
        <v>0</v>
      </c>
      <c r="C313" s="4">
        <v>0</v>
      </c>
      <c r="D313" s="4">
        <v>1</v>
      </c>
      <c r="E313" s="4">
        <v>231</v>
      </c>
      <c r="F313" s="4">
        <f>ROUND(Source!BB300,O313)</f>
        <v>0</v>
      </c>
      <c r="G313" s="4" t="s">
        <v>96</v>
      </c>
      <c r="H313" s="4" t="s">
        <v>97</v>
      </c>
      <c r="I313" s="4"/>
      <c r="J313" s="4"/>
      <c r="K313" s="4">
        <v>231</v>
      </c>
      <c r="L313" s="4">
        <v>12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/>
    </row>
    <row r="314" spans="1:23" x14ac:dyDescent="0.2">
      <c r="A314" s="4">
        <v>50</v>
      </c>
      <c r="B314" s="4">
        <v>0</v>
      </c>
      <c r="C314" s="4">
        <v>0</v>
      </c>
      <c r="D314" s="4">
        <v>1</v>
      </c>
      <c r="E314" s="4">
        <v>204</v>
      </c>
      <c r="F314" s="4">
        <f>ROUND(Source!R300,O314)</f>
        <v>0</v>
      </c>
      <c r="G314" s="4" t="s">
        <v>98</v>
      </c>
      <c r="H314" s="4" t="s">
        <v>99</v>
      </c>
      <c r="I314" s="4"/>
      <c r="J314" s="4"/>
      <c r="K314" s="4">
        <v>204</v>
      </c>
      <c r="L314" s="4">
        <v>13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/>
    </row>
    <row r="315" spans="1:23" x14ac:dyDescent="0.2">
      <c r="A315" s="4">
        <v>50</v>
      </c>
      <c r="B315" s="4">
        <v>0</v>
      </c>
      <c r="C315" s="4">
        <v>0</v>
      </c>
      <c r="D315" s="4">
        <v>1</v>
      </c>
      <c r="E315" s="4">
        <v>205</v>
      </c>
      <c r="F315" s="4">
        <f>ROUND(Source!S300,O315)</f>
        <v>0</v>
      </c>
      <c r="G315" s="4" t="s">
        <v>100</v>
      </c>
      <c r="H315" s="4" t="s">
        <v>101</v>
      </c>
      <c r="I315" s="4"/>
      <c r="J315" s="4"/>
      <c r="K315" s="4">
        <v>205</v>
      </c>
      <c r="L315" s="4">
        <v>14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/>
    </row>
    <row r="316" spans="1:23" x14ac:dyDescent="0.2">
      <c r="A316" s="4">
        <v>50</v>
      </c>
      <c r="B316" s="4">
        <v>0</v>
      </c>
      <c r="C316" s="4">
        <v>0</v>
      </c>
      <c r="D316" s="4">
        <v>1</v>
      </c>
      <c r="E316" s="4">
        <v>232</v>
      </c>
      <c r="F316" s="4">
        <f>ROUND(Source!BC300,O316)</f>
        <v>0</v>
      </c>
      <c r="G316" s="4" t="s">
        <v>102</v>
      </c>
      <c r="H316" s="4" t="s">
        <v>103</v>
      </c>
      <c r="I316" s="4"/>
      <c r="J316" s="4"/>
      <c r="K316" s="4">
        <v>232</v>
      </c>
      <c r="L316" s="4">
        <v>15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/>
    </row>
    <row r="317" spans="1:23" x14ac:dyDescent="0.2">
      <c r="A317" s="4">
        <v>50</v>
      </c>
      <c r="B317" s="4">
        <v>0</v>
      </c>
      <c r="C317" s="4">
        <v>0</v>
      </c>
      <c r="D317" s="4">
        <v>1</v>
      </c>
      <c r="E317" s="4">
        <v>214</v>
      </c>
      <c r="F317" s="4">
        <f>ROUND(Source!AS300,O317)</f>
        <v>0</v>
      </c>
      <c r="G317" s="4" t="s">
        <v>104</v>
      </c>
      <c r="H317" s="4" t="s">
        <v>105</v>
      </c>
      <c r="I317" s="4"/>
      <c r="J317" s="4"/>
      <c r="K317" s="4">
        <v>214</v>
      </c>
      <c r="L317" s="4">
        <v>16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/>
    </row>
    <row r="318" spans="1:23" x14ac:dyDescent="0.2">
      <c r="A318" s="4">
        <v>50</v>
      </c>
      <c r="B318" s="4">
        <v>0</v>
      </c>
      <c r="C318" s="4">
        <v>0</v>
      </c>
      <c r="D318" s="4">
        <v>1</v>
      </c>
      <c r="E318" s="4">
        <v>215</v>
      </c>
      <c r="F318" s="4">
        <f>ROUND(Source!AT300,O318)</f>
        <v>0</v>
      </c>
      <c r="G318" s="4" t="s">
        <v>106</v>
      </c>
      <c r="H318" s="4" t="s">
        <v>107</v>
      </c>
      <c r="I318" s="4"/>
      <c r="J318" s="4"/>
      <c r="K318" s="4">
        <v>215</v>
      </c>
      <c r="L318" s="4">
        <v>17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/>
    </row>
    <row r="319" spans="1:23" x14ac:dyDescent="0.2">
      <c r="A319" s="4">
        <v>50</v>
      </c>
      <c r="B319" s="4">
        <v>0</v>
      </c>
      <c r="C319" s="4">
        <v>0</v>
      </c>
      <c r="D319" s="4">
        <v>1</v>
      </c>
      <c r="E319" s="4">
        <v>217</v>
      </c>
      <c r="F319" s="4">
        <f>ROUND(Source!AU300,O319)</f>
        <v>0</v>
      </c>
      <c r="G319" s="4" t="s">
        <v>108</v>
      </c>
      <c r="H319" s="4" t="s">
        <v>109</v>
      </c>
      <c r="I319" s="4"/>
      <c r="J319" s="4"/>
      <c r="K319" s="4">
        <v>217</v>
      </c>
      <c r="L319" s="4">
        <v>18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/>
    </row>
    <row r="320" spans="1:23" x14ac:dyDescent="0.2">
      <c r="A320" s="4">
        <v>50</v>
      </c>
      <c r="B320" s="4">
        <v>0</v>
      </c>
      <c r="C320" s="4">
        <v>0</v>
      </c>
      <c r="D320" s="4">
        <v>1</v>
      </c>
      <c r="E320" s="4">
        <v>230</v>
      </c>
      <c r="F320" s="4">
        <f>ROUND(Source!BA300,O320)</f>
        <v>0</v>
      </c>
      <c r="G320" s="4" t="s">
        <v>110</v>
      </c>
      <c r="H320" s="4" t="s">
        <v>111</v>
      </c>
      <c r="I320" s="4"/>
      <c r="J320" s="4"/>
      <c r="K320" s="4">
        <v>230</v>
      </c>
      <c r="L320" s="4">
        <v>19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206</v>
      </c>
      <c r="F321" s="4">
        <f>ROUND(Source!T300,O321)</f>
        <v>87286.87</v>
      </c>
      <c r="G321" s="4" t="s">
        <v>112</v>
      </c>
      <c r="H321" s="4" t="s">
        <v>113</v>
      </c>
      <c r="I321" s="4"/>
      <c r="J321" s="4"/>
      <c r="K321" s="4">
        <v>206</v>
      </c>
      <c r="L321" s="4">
        <v>20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207</v>
      </c>
      <c r="F322" s="4">
        <f>Source!U300</f>
        <v>0</v>
      </c>
      <c r="G322" s="4" t="s">
        <v>114</v>
      </c>
      <c r="H322" s="4" t="s">
        <v>115</v>
      </c>
      <c r="I322" s="4"/>
      <c r="J322" s="4"/>
      <c r="K322" s="4">
        <v>207</v>
      </c>
      <c r="L322" s="4">
        <v>21</v>
      </c>
      <c r="M322" s="4">
        <v>3</v>
      </c>
      <c r="N322" s="4" t="s">
        <v>3</v>
      </c>
      <c r="O322" s="4">
        <v>-1</v>
      </c>
      <c r="P322" s="4"/>
      <c r="Q322" s="4"/>
      <c r="R322" s="4"/>
      <c r="S322" s="4"/>
      <c r="T322" s="4"/>
      <c r="U322" s="4"/>
      <c r="V322" s="4"/>
      <c r="W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208</v>
      </c>
      <c r="F323" s="4">
        <f>Source!V300</f>
        <v>0</v>
      </c>
      <c r="G323" s="4" t="s">
        <v>116</v>
      </c>
      <c r="H323" s="4" t="s">
        <v>117</v>
      </c>
      <c r="I323" s="4"/>
      <c r="J323" s="4"/>
      <c r="K323" s="4">
        <v>208</v>
      </c>
      <c r="L323" s="4">
        <v>22</v>
      </c>
      <c r="M323" s="4">
        <v>3</v>
      </c>
      <c r="N323" s="4" t="s">
        <v>3</v>
      </c>
      <c r="O323" s="4">
        <v>-1</v>
      </c>
      <c r="P323" s="4"/>
      <c r="Q323" s="4"/>
      <c r="R323" s="4"/>
      <c r="S323" s="4"/>
      <c r="T323" s="4"/>
      <c r="U323" s="4"/>
      <c r="V323" s="4"/>
      <c r="W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209</v>
      </c>
      <c r="F324" s="4">
        <f>ROUND(Source!W300,O324)</f>
        <v>0</v>
      </c>
      <c r="G324" s="4" t="s">
        <v>118</v>
      </c>
      <c r="H324" s="4" t="s">
        <v>119</v>
      </c>
      <c r="I324" s="4"/>
      <c r="J324" s="4"/>
      <c r="K324" s="4">
        <v>209</v>
      </c>
      <c r="L324" s="4">
        <v>23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/>
    </row>
    <row r="325" spans="1:206" x14ac:dyDescent="0.2">
      <c r="A325" s="4">
        <v>50</v>
      </c>
      <c r="B325" s="4">
        <v>0</v>
      </c>
      <c r="C325" s="4">
        <v>0</v>
      </c>
      <c r="D325" s="4">
        <v>1</v>
      </c>
      <c r="E325" s="4">
        <v>210</v>
      </c>
      <c r="F325" s="4">
        <f>ROUND(Source!X300,O325)</f>
        <v>0</v>
      </c>
      <c r="G325" s="4" t="s">
        <v>120</v>
      </c>
      <c r="H325" s="4" t="s">
        <v>121</v>
      </c>
      <c r="I325" s="4"/>
      <c r="J325" s="4"/>
      <c r="K325" s="4">
        <v>210</v>
      </c>
      <c r="L325" s="4">
        <v>24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/>
    </row>
    <row r="326" spans="1:206" x14ac:dyDescent="0.2">
      <c r="A326" s="4">
        <v>50</v>
      </c>
      <c r="B326" s="4">
        <v>0</v>
      </c>
      <c r="C326" s="4">
        <v>0</v>
      </c>
      <c r="D326" s="4">
        <v>1</v>
      </c>
      <c r="E326" s="4">
        <v>211</v>
      </c>
      <c r="F326" s="4">
        <f>ROUND(Source!Y300,O326)</f>
        <v>0</v>
      </c>
      <c r="G326" s="4" t="s">
        <v>122</v>
      </c>
      <c r="H326" s="4" t="s">
        <v>123</v>
      </c>
      <c r="I326" s="4"/>
      <c r="J326" s="4"/>
      <c r="K326" s="4">
        <v>211</v>
      </c>
      <c r="L326" s="4">
        <v>25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/>
    </row>
    <row r="327" spans="1:206" x14ac:dyDescent="0.2">
      <c r="A327" s="4">
        <v>50</v>
      </c>
      <c r="B327" s="4">
        <v>0</v>
      </c>
      <c r="C327" s="4">
        <v>0</v>
      </c>
      <c r="D327" s="4">
        <v>1</v>
      </c>
      <c r="E327" s="4">
        <v>224</v>
      </c>
      <c r="F327" s="4">
        <f>ROUND(Source!AR300,O327)</f>
        <v>0</v>
      </c>
      <c r="G327" s="4" t="s">
        <v>124</v>
      </c>
      <c r="H327" s="4" t="s">
        <v>125</v>
      </c>
      <c r="I327" s="4"/>
      <c r="J327" s="4"/>
      <c r="K327" s="4">
        <v>224</v>
      </c>
      <c r="L327" s="4">
        <v>26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/>
    </row>
    <row r="329" spans="1:206" x14ac:dyDescent="0.2">
      <c r="A329" s="2">
        <v>51</v>
      </c>
      <c r="B329" s="2">
        <f>B20</f>
        <v>1</v>
      </c>
      <c r="C329" s="2">
        <f>A20</f>
        <v>3</v>
      </c>
      <c r="D329" s="2">
        <f>ROW(A20)</f>
        <v>20</v>
      </c>
      <c r="E329" s="2"/>
      <c r="F329" s="2" t="str">
        <f>IF(F20&lt;&gt;"",F20,"")</f>
        <v>Новая локальная смета</v>
      </c>
      <c r="G329" s="2" t="str">
        <f>IF(G20&lt;&gt;"",G20,"")</f>
        <v/>
      </c>
      <c r="H329" s="2">
        <v>0</v>
      </c>
      <c r="I329" s="2"/>
      <c r="J329" s="2"/>
      <c r="K329" s="2"/>
      <c r="L329" s="2"/>
      <c r="M329" s="2"/>
      <c r="N329" s="2"/>
      <c r="O329" s="2">
        <f t="shared" ref="O329:T329" si="266">ROUND(O39+O85+O130+O170+O215+O264+O300+AB329,2)</f>
        <v>4512500.63</v>
      </c>
      <c r="P329" s="2">
        <f t="shared" si="266"/>
        <v>3910920.23</v>
      </c>
      <c r="Q329" s="2">
        <f t="shared" si="266"/>
        <v>413913.62</v>
      </c>
      <c r="R329" s="2">
        <f t="shared" si="266"/>
        <v>30210.29</v>
      </c>
      <c r="S329" s="2">
        <f t="shared" si="266"/>
        <v>187666.78</v>
      </c>
      <c r="T329" s="2">
        <f t="shared" si="266"/>
        <v>87286.87</v>
      </c>
      <c r="U329" s="2">
        <f>U39+U85+U130+U170+U215+U264+U300+AH329</f>
        <v>708.96890003899989</v>
      </c>
      <c r="V329" s="2">
        <f>V39+V85+V130+V170+V215+V264+V300+AI329</f>
        <v>0</v>
      </c>
      <c r="W329" s="2">
        <f>ROUND(W39+W85+W130+W170+W215+W264+W300+AJ329,2)</f>
        <v>0</v>
      </c>
      <c r="X329" s="2">
        <f>ROUND(X39+X85+X130+X170+X215+X264+X300+AK329,2)</f>
        <v>191813.64</v>
      </c>
      <c r="Y329" s="2">
        <f>ROUND(Y39+Y85+Y130+Y170+Y215+Y264+Y300+AL329,2)</f>
        <v>92651.38</v>
      </c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>
        <f t="shared" ref="AO329:BC329" si="267">ROUND(AO39+AO85+AO130+AO170+AO215+AO264+AO300+BX329,2)</f>
        <v>0</v>
      </c>
      <c r="AP329" s="2">
        <f t="shared" si="267"/>
        <v>963789.24</v>
      </c>
      <c r="AQ329" s="2">
        <f t="shared" si="267"/>
        <v>0</v>
      </c>
      <c r="AR329" s="2">
        <f t="shared" si="267"/>
        <v>8451636.6600000001</v>
      </c>
      <c r="AS329" s="2">
        <f t="shared" si="267"/>
        <v>7102194.3899999997</v>
      </c>
      <c r="AT329" s="2">
        <f t="shared" si="267"/>
        <v>0</v>
      </c>
      <c r="AU329" s="2">
        <f t="shared" si="267"/>
        <v>341761.2</v>
      </c>
      <c r="AV329" s="2">
        <f t="shared" si="267"/>
        <v>3910920.23</v>
      </c>
      <c r="AW329" s="2">
        <f t="shared" si="267"/>
        <v>2947130.99</v>
      </c>
      <c r="AX329" s="2">
        <f t="shared" si="267"/>
        <v>0</v>
      </c>
      <c r="AY329" s="2">
        <f t="shared" si="267"/>
        <v>2947130.99</v>
      </c>
      <c r="AZ329" s="2">
        <f t="shared" si="267"/>
        <v>963789.24</v>
      </c>
      <c r="BA329" s="2">
        <f t="shared" si="267"/>
        <v>43891.83</v>
      </c>
      <c r="BB329" s="2">
        <f t="shared" si="267"/>
        <v>865772.65</v>
      </c>
      <c r="BC329" s="2">
        <f t="shared" si="267"/>
        <v>2697576.37</v>
      </c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3"/>
      <c r="DH329" s="3"/>
      <c r="DI329" s="3"/>
      <c r="DJ329" s="3"/>
      <c r="DK329" s="3"/>
      <c r="DL329" s="3"/>
      <c r="DM329" s="3"/>
      <c r="DN329" s="3"/>
      <c r="DO329" s="3"/>
      <c r="DP329" s="3"/>
      <c r="DQ329" s="3"/>
      <c r="DR329" s="3"/>
      <c r="DS329" s="3"/>
      <c r="DT329" s="3"/>
      <c r="DU329" s="3"/>
      <c r="DV329" s="3"/>
      <c r="DW329" s="3"/>
      <c r="DX329" s="3"/>
      <c r="DY329" s="3"/>
      <c r="DZ329" s="3"/>
      <c r="EA329" s="3"/>
      <c r="EB329" s="3"/>
      <c r="EC329" s="3"/>
      <c r="ED329" s="3"/>
      <c r="EE329" s="3"/>
      <c r="EF329" s="3"/>
      <c r="EG329" s="3"/>
      <c r="EH329" s="3"/>
      <c r="EI329" s="3"/>
      <c r="EJ329" s="3"/>
      <c r="EK329" s="3"/>
      <c r="EL329" s="3"/>
      <c r="EM329" s="3"/>
      <c r="EN329" s="3"/>
      <c r="EO329" s="3"/>
      <c r="EP329" s="3"/>
      <c r="EQ329" s="3"/>
      <c r="ER329" s="3"/>
      <c r="ES329" s="3"/>
      <c r="ET329" s="3"/>
      <c r="EU329" s="3"/>
      <c r="EV329" s="3"/>
      <c r="EW329" s="3"/>
      <c r="EX329" s="3"/>
      <c r="EY329" s="3"/>
      <c r="EZ329" s="3"/>
      <c r="FA329" s="3"/>
      <c r="FB329" s="3"/>
      <c r="FC329" s="3"/>
      <c r="FD329" s="3"/>
      <c r="FE329" s="3"/>
      <c r="FF329" s="3"/>
      <c r="FG329" s="3"/>
      <c r="FH329" s="3"/>
      <c r="FI329" s="3"/>
      <c r="FJ329" s="3"/>
      <c r="FK329" s="3"/>
      <c r="FL329" s="3"/>
      <c r="FM329" s="3"/>
      <c r="FN329" s="3"/>
      <c r="FO329" s="3"/>
      <c r="FP329" s="3"/>
      <c r="FQ329" s="3"/>
      <c r="FR329" s="3"/>
      <c r="FS329" s="3"/>
      <c r="FT329" s="3"/>
      <c r="FU329" s="3"/>
      <c r="FV329" s="3"/>
      <c r="FW329" s="3"/>
      <c r="FX329" s="3"/>
      <c r="FY329" s="3"/>
      <c r="FZ329" s="3"/>
      <c r="GA329" s="3"/>
      <c r="GB329" s="3"/>
      <c r="GC329" s="3"/>
      <c r="GD329" s="3"/>
      <c r="GE329" s="3"/>
      <c r="GF329" s="3"/>
      <c r="GG329" s="3"/>
      <c r="GH329" s="3"/>
      <c r="GI329" s="3"/>
      <c r="GJ329" s="3"/>
      <c r="GK329" s="3"/>
      <c r="GL329" s="3"/>
      <c r="GM329" s="3"/>
      <c r="GN329" s="3"/>
      <c r="GO329" s="3"/>
      <c r="GP329" s="3"/>
      <c r="GQ329" s="3"/>
      <c r="GR329" s="3"/>
      <c r="GS329" s="3"/>
      <c r="GT329" s="3"/>
      <c r="GU329" s="3"/>
      <c r="GV329" s="3"/>
      <c r="GW329" s="3"/>
      <c r="GX329" s="3">
        <v>0</v>
      </c>
    </row>
    <row r="331" spans="1:206" x14ac:dyDescent="0.2">
      <c r="A331" s="4">
        <v>50</v>
      </c>
      <c r="B331" s="4">
        <v>0</v>
      </c>
      <c r="C331" s="4">
        <v>0</v>
      </c>
      <c r="D331" s="4">
        <v>1</v>
      </c>
      <c r="E331" s="4">
        <v>201</v>
      </c>
      <c r="F331" s="4">
        <f>ROUND(Source!O329,O331)</f>
        <v>4512500.63</v>
      </c>
      <c r="G331" s="4" t="s">
        <v>74</v>
      </c>
      <c r="H331" s="4" t="s">
        <v>75</v>
      </c>
      <c r="I331" s="4"/>
      <c r="J331" s="4"/>
      <c r="K331" s="4">
        <v>201</v>
      </c>
      <c r="L331" s="4">
        <v>1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/>
    </row>
    <row r="332" spans="1:206" x14ac:dyDescent="0.2">
      <c r="A332" s="4">
        <v>50</v>
      </c>
      <c r="B332" s="4">
        <v>0</v>
      </c>
      <c r="C332" s="4">
        <v>0</v>
      </c>
      <c r="D332" s="4">
        <v>1</v>
      </c>
      <c r="E332" s="4">
        <v>202</v>
      </c>
      <c r="F332" s="4">
        <f>ROUND(Source!P329,O332)</f>
        <v>3910920.23</v>
      </c>
      <c r="G332" s="4" t="s">
        <v>76</v>
      </c>
      <c r="H332" s="4" t="s">
        <v>77</v>
      </c>
      <c r="I332" s="4"/>
      <c r="J332" s="4"/>
      <c r="K332" s="4">
        <v>202</v>
      </c>
      <c r="L332" s="4">
        <v>2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/>
    </row>
    <row r="333" spans="1:206" x14ac:dyDescent="0.2">
      <c r="A333" s="4">
        <v>50</v>
      </c>
      <c r="B333" s="4">
        <v>0</v>
      </c>
      <c r="C333" s="4">
        <v>0</v>
      </c>
      <c r="D333" s="4">
        <v>1</v>
      </c>
      <c r="E333" s="4">
        <v>222</v>
      </c>
      <c r="F333" s="4">
        <f>ROUND(Source!AO329,O333)</f>
        <v>0</v>
      </c>
      <c r="G333" s="4" t="s">
        <v>78</v>
      </c>
      <c r="H333" s="4" t="s">
        <v>79</v>
      </c>
      <c r="I333" s="4"/>
      <c r="J333" s="4"/>
      <c r="K333" s="4">
        <v>222</v>
      </c>
      <c r="L333" s="4">
        <v>3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/>
    </row>
    <row r="334" spans="1:206" x14ac:dyDescent="0.2">
      <c r="A334" s="4">
        <v>50</v>
      </c>
      <c r="B334" s="4">
        <v>0</v>
      </c>
      <c r="C334" s="4">
        <v>0</v>
      </c>
      <c r="D334" s="4">
        <v>1</v>
      </c>
      <c r="E334" s="4">
        <v>225</v>
      </c>
      <c r="F334" s="4">
        <f>ROUND(Source!AV329,O334)</f>
        <v>3910920.23</v>
      </c>
      <c r="G334" s="4" t="s">
        <v>80</v>
      </c>
      <c r="H334" s="4" t="s">
        <v>81</v>
      </c>
      <c r="I334" s="4"/>
      <c r="J334" s="4"/>
      <c r="K334" s="4">
        <v>225</v>
      </c>
      <c r="L334" s="4">
        <v>4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/>
    </row>
    <row r="335" spans="1:206" x14ac:dyDescent="0.2">
      <c r="A335" s="4">
        <v>50</v>
      </c>
      <c r="B335" s="4">
        <v>0</v>
      </c>
      <c r="C335" s="4">
        <v>0</v>
      </c>
      <c r="D335" s="4">
        <v>1</v>
      </c>
      <c r="E335" s="4">
        <v>226</v>
      </c>
      <c r="F335" s="4">
        <f>ROUND(Source!AW329,O335)</f>
        <v>2947130.99</v>
      </c>
      <c r="G335" s="4" t="s">
        <v>82</v>
      </c>
      <c r="H335" s="4" t="s">
        <v>83</v>
      </c>
      <c r="I335" s="4"/>
      <c r="J335" s="4"/>
      <c r="K335" s="4">
        <v>226</v>
      </c>
      <c r="L335" s="4">
        <v>5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/>
    </row>
    <row r="336" spans="1:206" x14ac:dyDescent="0.2">
      <c r="A336" s="4">
        <v>50</v>
      </c>
      <c r="B336" s="4">
        <v>0</v>
      </c>
      <c r="C336" s="4">
        <v>0</v>
      </c>
      <c r="D336" s="4">
        <v>1</v>
      </c>
      <c r="E336" s="4">
        <v>227</v>
      </c>
      <c r="F336" s="4">
        <f>ROUND(Source!AX329,O336)</f>
        <v>0</v>
      </c>
      <c r="G336" s="4" t="s">
        <v>84</v>
      </c>
      <c r="H336" s="4" t="s">
        <v>85</v>
      </c>
      <c r="I336" s="4"/>
      <c r="J336" s="4"/>
      <c r="K336" s="4">
        <v>227</v>
      </c>
      <c r="L336" s="4">
        <v>6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/>
    </row>
    <row r="337" spans="1:23" x14ac:dyDescent="0.2">
      <c r="A337" s="4">
        <v>50</v>
      </c>
      <c r="B337" s="4">
        <v>0</v>
      </c>
      <c r="C337" s="4">
        <v>0</v>
      </c>
      <c r="D337" s="4">
        <v>1</v>
      </c>
      <c r="E337" s="4">
        <v>228</v>
      </c>
      <c r="F337" s="4">
        <f>ROUND(Source!AY329,O337)</f>
        <v>2947130.99</v>
      </c>
      <c r="G337" s="4" t="s">
        <v>86</v>
      </c>
      <c r="H337" s="4" t="s">
        <v>87</v>
      </c>
      <c r="I337" s="4"/>
      <c r="J337" s="4"/>
      <c r="K337" s="4">
        <v>228</v>
      </c>
      <c r="L337" s="4">
        <v>7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/>
    </row>
    <row r="338" spans="1:23" x14ac:dyDescent="0.2">
      <c r="A338" s="4">
        <v>50</v>
      </c>
      <c r="B338" s="4">
        <v>0</v>
      </c>
      <c r="C338" s="4">
        <v>0</v>
      </c>
      <c r="D338" s="4">
        <v>1</v>
      </c>
      <c r="E338" s="4">
        <v>216</v>
      </c>
      <c r="F338" s="4">
        <f>ROUND(Source!AP329,O338)</f>
        <v>963789.24</v>
      </c>
      <c r="G338" s="4" t="s">
        <v>88</v>
      </c>
      <c r="H338" s="4" t="s">
        <v>89</v>
      </c>
      <c r="I338" s="4"/>
      <c r="J338" s="4"/>
      <c r="K338" s="4">
        <v>216</v>
      </c>
      <c r="L338" s="4">
        <v>8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/>
    </row>
    <row r="339" spans="1:23" x14ac:dyDescent="0.2">
      <c r="A339" s="4">
        <v>50</v>
      </c>
      <c r="B339" s="4">
        <v>0</v>
      </c>
      <c r="C339" s="4">
        <v>0</v>
      </c>
      <c r="D339" s="4">
        <v>1</v>
      </c>
      <c r="E339" s="4">
        <v>223</v>
      </c>
      <c r="F339" s="4">
        <f>ROUND(Source!AQ329,O339)</f>
        <v>0</v>
      </c>
      <c r="G339" s="4" t="s">
        <v>90</v>
      </c>
      <c r="H339" s="4" t="s">
        <v>91</v>
      </c>
      <c r="I339" s="4"/>
      <c r="J339" s="4"/>
      <c r="K339" s="4">
        <v>223</v>
      </c>
      <c r="L339" s="4">
        <v>9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/>
    </row>
    <row r="340" spans="1:23" x14ac:dyDescent="0.2">
      <c r="A340" s="4">
        <v>50</v>
      </c>
      <c r="B340" s="4">
        <v>0</v>
      </c>
      <c r="C340" s="4">
        <v>0</v>
      </c>
      <c r="D340" s="4">
        <v>1</v>
      </c>
      <c r="E340" s="4">
        <v>229</v>
      </c>
      <c r="F340" s="4">
        <f>ROUND(Source!AZ329,O340)</f>
        <v>963789.24</v>
      </c>
      <c r="G340" s="4" t="s">
        <v>92</v>
      </c>
      <c r="H340" s="4" t="s">
        <v>93</v>
      </c>
      <c r="I340" s="4"/>
      <c r="J340" s="4"/>
      <c r="K340" s="4">
        <v>229</v>
      </c>
      <c r="L340" s="4">
        <v>10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/>
    </row>
    <row r="341" spans="1:23" x14ac:dyDescent="0.2">
      <c r="A341" s="4">
        <v>50</v>
      </c>
      <c r="B341" s="4">
        <v>0</v>
      </c>
      <c r="C341" s="4">
        <v>0</v>
      </c>
      <c r="D341" s="4">
        <v>1</v>
      </c>
      <c r="E341" s="4">
        <v>203</v>
      </c>
      <c r="F341" s="4">
        <f>ROUND(Source!Q329,O341)</f>
        <v>413913.62</v>
      </c>
      <c r="G341" s="4" t="s">
        <v>94</v>
      </c>
      <c r="H341" s="4" t="s">
        <v>95</v>
      </c>
      <c r="I341" s="4"/>
      <c r="J341" s="4"/>
      <c r="K341" s="4">
        <v>203</v>
      </c>
      <c r="L341" s="4">
        <v>11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/>
    </row>
    <row r="342" spans="1:23" x14ac:dyDescent="0.2">
      <c r="A342" s="4">
        <v>50</v>
      </c>
      <c r="B342" s="4">
        <v>0</v>
      </c>
      <c r="C342" s="4">
        <v>0</v>
      </c>
      <c r="D342" s="4">
        <v>1</v>
      </c>
      <c r="E342" s="4">
        <v>231</v>
      </c>
      <c r="F342" s="4">
        <f>ROUND(Source!BB329,O342)</f>
        <v>865772.65</v>
      </c>
      <c r="G342" s="4" t="s">
        <v>96</v>
      </c>
      <c r="H342" s="4" t="s">
        <v>97</v>
      </c>
      <c r="I342" s="4"/>
      <c r="J342" s="4"/>
      <c r="K342" s="4">
        <v>231</v>
      </c>
      <c r="L342" s="4">
        <v>12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/>
    </row>
    <row r="343" spans="1:23" x14ac:dyDescent="0.2">
      <c r="A343" s="4">
        <v>50</v>
      </c>
      <c r="B343" s="4">
        <v>0</v>
      </c>
      <c r="C343" s="4">
        <v>0</v>
      </c>
      <c r="D343" s="4">
        <v>1</v>
      </c>
      <c r="E343" s="4">
        <v>204</v>
      </c>
      <c r="F343" s="4">
        <f>ROUND(Source!R329,O343)</f>
        <v>30210.29</v>
      </c>
      <c r="G343" s="4" t="s">
        <v>98</v>
      </c>
      <c r="H343" s="4" t="s">
        <v>99</v>
      </c>
      <c r="I343" s="4"/>
      <c r="J343" s="4"/>
      <c r="K343" s="4">
        <v>204</v>
      </c>
      <c r="L343" s="4">
        <v>13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/>
    </row>
    <row r="344" spans="1:23" x14ac:dyDescent="0.2">
      <c r="A344" s="4">
        <v>50</v>
      </c>
      <c r="B344" s="4">
        <v>0</v>
      </c>
      <c r="C344" s="4">
        <v>0</v>
      </c>
      <c r="D344" s="4">
        <v>1</v>
      </c>
      <c r="E344" s="4">
        <v>205</v>
      </c>
      <c r="F344" s="4">
        <f>ROUND(Source!S329,O344)</f>
        <v>187666.78</v>
      </c>
      <c r="G344" s="4" t="s">
        <v>100</v>
      </c>
      <c r="H344" s="4" t="s">
        <v>101</v>
      </c>
      <c r="I344" s="4"/>
      <c r="J344" s="4"/>
      <c r="K344" s="4">
        <v>205</v>
      </c>
      <c r="L344" s="4">
        <v>14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/>
    </row>
    <row r="345" spans="1:23" x14ac:dyDescent="0.2">
      <c r="A345" s="4">
        <v>50</v>
      </c>
      <c r="B345" s="4">
        <v>0</v>
      </c>
      <c r="C345" s="4">
        <v>0</v>
      </c>
      <c r="D345" s="4">
        <v>1</v>
      </c>
      <c r="E345" s="4">
        <v>232</v>
      </c>
      <c r="F345" s="4">
        <f>ROUND(Source!BC329,O345)</f>
        <v>2697576.37</v>
      </c>
      <c r="G345" s="4" t="s">
        <v>102</v>
      </c>
      <c r="H345" s="4" t="s">
        <v>103</v>
      </c>
      <c r="I345" s="4"/>
      <c r="J345" s="4"/>
      <c r="K345" s="4">
        <v>232</v>
      </c>
      <c r="L345" s="4">
        <v>15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/>
    </row>
    <row r="346" spans="1:23" x14ac:dyDescent="0.2">
      <c r="A346" s="4">
        <v>50</v>
      </c>
      <c r="B346" s="4">
        <v>0</v>
      </c>
      <c r="C346" s="4">
        <v>0</v>
      </c>
      <c r="D346" s="4">
        <v>1</v>
      </c>
      <c r="E346" s="4">
        <v>214</v>
      </c>
      <c r="F346" s="4">
        <f>ROUND(Source!AS329,O346)</f>
        <v>7102194.3899999997</v>
      </c>
      <c r="G346" s="4" t="s">
        <v>104</v>
      </c>
      <c r="H346" s="4" t="s">
        <v>105</v>
      </c>
      <c r="I346" s="4"/>
      <c r="J346" s="4"/>
      <c r="K346" s="4">
        <v>214</v>
      </c>
      <c r="L346" s="4">
        <v>16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/>
    </row>
    <row r="347" spans="1:23" x14ac:dyDescent="0.2">
      <c r="A347" s="4">
        <v>50</v>
      </c>
      <c r="B347" s="4">
        <v>0</v>
      </c>
      <c r="C347" s="4">
        <v>0</v>
      </c>
      <c r="D347" s="4">
        <v>1</v>
      </c>
      <c r="E347" s="4">
        <v>215</v>
      </c>
      <c r="F347" s="4">
        <f>ROUND(Source!AT329,O347)</f>
        <v>0</v>
      </c>
      <c r="G347" s="4" t="s">
        <v>106</v>
      </c>
      <c r="H347" s="4" t="s">
        <v>107</v>
      </c>
      <c r="I347" s="4"/>
      <c r="J347" s="4"/>
      <c r="K347" s="4">
        <v>215</v>
      </c>
      <c r="L347" s="4">
        <v>17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/>
    </row>
    <row r="348" spans="1:23" x14ac:dyDescent="0.2">
      <c r="A348" s="4">
        <v>50</v>
      </c>
      <c r="B348" s="4">
        <v>0</v>
      </c>
      <c r="C348" s="4">
        <v>0</v>
      </c>
      <c r="D348" s="4">
        <v>1</v>
      </c>
      <c r="E348" s="4">
        <v>217</v>
      </c>
      <c r="F348" s="4">
        <f>ROUND(Source!AU329,O348)</f>
        <v>341761.2</v>
      </c>
      <c r="G348" s="4" t="s">
        <v>108</v>
      </c>
      <c r="H348" s="4" t="s">
        <v>109</v>
      </c>
      <c r="I348" s="4"/>
      <c r="J348" s="4"/>
      <c r="K348" s="4">
        <v>217</v>
      </c>
      <c r="L348" s="4">
        <v>18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/>
    </row>
    <row r="349" spans="1:23" x14ac:dyDescent="0.2">
      <c r="A349" s="4">
        <v>50</v>
      </c>
      <c r="B349" s="4">
        <v>0</v>
      </c>
      <c r="C349" s="4">
        <v>0</v>
      </c>
      <c r="D349" s="4">
        <v>1</v>
      </c>
      <c r="E349" s="4">
        <v>230</v>
      </c>
      <c r="F349" s="4">
        <f>ROUND(Source!BA329,O349)</f>
        <v>43891.83</v>
      </c>
      <c r="G349" s="4" t="s">
        <v>110</v>
      </c>
      <c r="H349" s="4" t="s">
        <v>111</v>
      </c>
      <c r="I349" s="4"/>
      <c r="J349" s="4"/>
      <c r="K349" s="4">
        <v>230</v>
      </c>
      <c r="L349" s="4">
        <v>19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/>
    </row>
    <row r="350" spans="1:23" x14ac:dyDescent="0.2">
      <c r="A350" s="4">
        <v>50</v>
      </c>
      <c r="B350" s="4">
        <v>0</v>
      </c>
      <c r="C350" s="4">
        <v>0</v>
      </c>
      <c r="D350" s="4">
        <v>1</v>
      </c>
      <c r="E350" s="4">
        <v>206</v>
      </c>
      <c r="F350" s="4">
        <f>ROUND(Source!T329,O350)</f>
        <v>87286.87</v>
      </c>
      <c r="G350" s="4" t="s">
        <v>112</v>
      </c>
      <c r="H350" s="4" t="s">
        <v>113</v>
      </c>
      <c r="I350" s="4"/>
      <c r="J350" s="4"/>
      <c r="K350" s="4">
        <v>206</v>
      </c>
      <c r="L350" s="4">
        <v>20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/>
    </row>
    <row r="351" spans="1:23" x14ac:dyDescent="0.2">
      <c r="A351" s="4">
        <v>50</v>
      </c>
      <c r="B351" s="4">
        <v>0</v>
      </c>
      <c r="C351" s="4">
        <v>0</v>
      </c>
      <c r="D351" s="4">
        <v>1</v>
      </c>
      <c r="E351" s="4">
        <v>207</v>
      </c>
      <c r="F351" s="4">
        <f>Source!U329</f>
        <v>708.96890003899989</v>
      </c>
      <c r="G351" s="4" t="s">
        <v>114</v>
      </c>
      <c r="H351" s="4" t="s">
        <v>115</v>
      </c>
      <c r="I351" s="4"/>
      <c r="J351" s="4"/>
      <c r="K351" s="4">
        <v>207</v>
      </c>
      <c r="L351" s="4">
        <v>21</v>
      </c>
      <c r="M351" s="4">
        <v>3</v>
      </c>
      <c r="N351" s="4" t="s">
        <v>3</v>
      </c>
      <c r="O351" s="4">
        <v>-1</v>
      </c>
      <c r="P351" s="4"/>
      <c r="Q351" s="4"/>
      <c r="R351" s="4"/>
      <c r="S351" s="4"/>
      <c r="T351" s="4"/>
      <c r="U351" s="4"/>
      <c r="V351" s="4"/>
      <c r="W351" s="4"/>
    </row>
    <row r="352" spans="1:23" x14ac:dyDescent="0.2">
      <c r="A352" s="4">
        <v>50</v>
      </c>
      <c r="B352" s="4">
        <v>0</v>
      </c>
      <c r="C352" s="4">
        <v>0</v>
      </c>
      <c r="D352" s="4">
        <v>1</v>
      </c>
      <c r="E352" s="4">
        <v>208</v>
      </c>
      <c r="F352" s="4">
        <f>Source!V329</f>
        <v>0</v>
      </c>
      <c r="G352" s="4" t="s">
        <v>116</v>
      </c>
      <c r="H352" s="4" t="s">
        <v>117</v>
      </c>
      <c r="I352" s="4"/>
      <c r="J352" s="4"/>
      <c r="K352" s="4">
        <v>208</v>
      </c>
      <c r="L352" s="4">
        <v>22</v>
      </c>
      <c r="M352" s="4">
        <v>3</v>
      </c>
      <c r="N352" s="4" t="s">
        <v>3</v>
      </c>
      <c r="O352" s="4">
        <v>-1</v>
      </c>
      <c r="P352" s="4"/>
      <c r="Q352" s="4"/>
      <c r="R352" s="4"/>
      <c r="S352" s="4"/>
      <c r="T352" s="4"/>
      <c r="U352" s="4"/>
      <c r="V352" s="4"/>
      <c r="W352" s="4"/>
    </row>
    <row r="353" spans="1:206" x14ac:dyDescent="0.2">
      <c r="A353" s="4">
        <v>50</v>
      </c>
      <c r="B353" s="4">
        <v>0</v>
      </c>
      <c r="C353" s="4">
        <v>0</v>
      </c>
      <c r="D353" s="4">
        <v>1</v>
      </c>
      <c r="E353" s="4">
        <v>209</v>
      </c>
      <c r="F353" s="4">
        <f>ROUND(Source!W329,O353)</f>
        <v>0</v>
      </c>
      <c r="G353" s="4" t="s">
        <v>118</v>
      </c>
      <c r="H353" s="4" t="s">
        <v>119</v>
      </c>
      <c r="I353" s="4"/>
      <c r="J353" s="4"/>
      <c r="K353" s="4">
        <v>209</v>
      </c>
      <c r="L353" s="4">
        <v>23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/>
    </row>
    <row r="354" spans="1:206" x14ac:dyDescent="0.2">
      <c r="A354" s="4">
        <v>50</v>
      </c>
      <c r="B354" s="4">
        <v>0</v>
      </c>
      <c r="C354" s="4">
        <v>0</v>
      </c>
      <c r="D354" s="4">
        <v>1</v>
      </c>
      <c r="E354" s="4">
        <v>210</v>
      </c>
      <c r="F354" s="4">
        <f>ROUND(Source!X329,O354)</f>
        <v>191813.64</v>
      </c>
      <c r="G354" s="4" t="s">
        <v>120</v>
      </c>
      <c r="H354" s="4" t="s">
        <v>121</v>
      </c>
      <c r="I354" s="4"/>
      <c r="J354" s="4"/>
      <c r="K354" s="4">
        <v>210</v>
      </c>
      <c r="L354" s="4">
        <v>24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/>
    </row>
    <row r="355" spans="1:206" x14ac:dyDescent="0.2">
      <c r="A355" s="4">
        <v>50</v>
      </c>
      <c r="B355" s="4">
        <v>0</v>
      </c>
      <c r="C355" s="4">
        <v>0</v>
      </c>
      <c r="D355" s="4">
        <v>1</v>
      </c>
      <c r="E355" s="4">
        <v>211</v>
      </c>
      <c r="F355" s="4">
        <f>ROUND(Source!Y329,O355)</f>
        <v>92651.38</v>
      </c>
      <c r="G355" s="4" t="s">
        <v>122</v>
      </c>
      <c r="H355" s="4" t="s">
        <v>123</v>
      </c>
      <c r="I355" s="4"/>
      <c r="J355" s="4"/>
      <c r="K355" s="4">
        <v>211</v>
      </c>
      <c r="L355" s="4">
        <v>25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/>
    </row>
    <row r="356" spans="1:206" x14ac:dyDescent="0.2">
      <c r="A356" s="4">
        <v>50</v>
      </c>
      <c r="B356" s="4">
        <v>0</v>
      </c>
      <c r="C356" s="4">
        <v>0</v>
      </c>
      <c r="D356" s="4">
        <v>1</v>
      </c>
      <c r="E356" s="4">
        <v>224</v>
      </c>
      <c r="F356" s="4">
        <f>ROUND(Source!AR329,O356)</f>
        <v>8451636.6600000001</v>
      </c>
      <c r="G356" s="4" t="s">
        <v>124</v>
      </c>
      <c r="H356" s="4" t="s">
        <v>125</v>
      </c>
      <c r="I356" s="4"/>
      <c r="J356" s="4"/>
      <c r="K356" s="4">
        <v>224</v>
      </c>
      <c r="L356" s="4">
        <v>26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/>
    </row>
    <row r="358" spans="1:206" x14ac:dyDescent="0.2">
      <c r="A358" s="2">
        <v>51</v>
      </c>
      <c r="B358" s="2">
        <f>B12</f>
        <v>390</v>
      </c>
      <c r="C358" s="2">
        <f>A12</f>
        <v>1</v>
      </c>
      <c r="D358" s="2">
        <f>ROW(A12)</f>
        <v>12</v>
      </c>
      <c r="E358" s="2"/>
      <c r="F358" s="2" t="str">
        <f>IF(F12&lt;&gt;"",F12,"")</f>
        <v/>
      </c>
      <c r="G358" s="2" t="str">
        <f>IF(G12&lt;&gt;"",G12,"")</f>
        <v>Кокошкино д.п., ул. Школьная_смр</v>
      </c>
      <c r="H358" s="2">
        <v>0</v>
      </c>
      <c r="I358" s="2"/>
      <c r="J358" s="2"/>
      <c r="K358" s="2"/>
      <c r="L358" s="2"/>
      <c r="M358" s="2"/>
      <c r="N358" s="2"/>
      <c r="O358" s="2">
        <f t="shared" ref="O358:T358" si="268">ROUND(O329,2)</f>
        <v>4512500.63</v>
      </c>
      <c r="P358" s="2">
        <f t="shared" si="268"/>
        <v>3910920.23</v>
      </c>
      <c r="Q358" s="2">
        <f t="shared" si="268"/>
        <v>413913.62</v>
      </c>
      <c r="R358" s="2">
        <f t="shared" si="268"/>
        <v>30210.29</v>
      </c>
      <c r="S358" s="2">
        <f t="shared" si="268"/>
        <v>187666.78</v>
      </c>
      <c r="T358" s="2">
        <f t="shared" si="268"/>
        <v>87286.87</v>
      </c>
      <c r="U358" s="2">
        <f>U329</f>
        <v>708.96890003899989</v>
      </c>
      <c r="V358" s="2">
        <f>V329</f>
        <v>0</v>
      </c>
      <c r="W358" s="2">
        <f>ROUND(W329,2)</f>
        <v>0</v>
      </c>
      <c r="X358" s="2">
        <f>ROUND(X329,2)</f>
        <v>191813.64</v>
      </c>
      <c r="Y358" s="2">
        <f>ROUND(Y329,2)</f>
        <v>92651.38</v>
      </c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>
        <f t="shared" ref="AO358:BC358" si="269">ROUND(AO329,2)</f>
        <v>0</v>
      </c>
      <c r="AP358" s="2">
        <f t="shared" si="269"/>
        <v>963789.24</v>
      </c>
      <c r="AQ358" s="2">
        <f t="shared" si="269"/>
        <v>0</v>
      </c>
      <c r="AR358" s="2">
        <f t="shared" si="269"/>
        <v>8451636.6600000001</v>
      </c>
      <c r="AS358" s="2">
        <f t="shared" si="269"/>
        <v>7102194.3899999997</v>
      </c>
      <c r="AT358" s="2">
        <f t="shared" si="269"/>
        <v>0</v>
      </c>
      <c r="AU358" s="2">
        <f t="shared" si="269"/>
        <v>341761.2</v>
      </c>
      <c r="AV358" s="2">
        <f t="shared" si="269"/>
        <v>3910920.23</v>
      </c>
      <c r="AW358" s="2">
        <f t="shared" si="269"/>
        <v>2947130.99</v>
      </c>
      <c r="AX358" s="2">
        <f t="shared" si="269"/>
        <v>0</v>
      </c>
      <c r="AY358" s="2">
        <f t="shared" si="269"/>
        <v>2947130.99</v>
      </c>
      <c r="AZ358" s="2">
        <f t="shared" si="269"/>
        <v>963789.24</v>
      </c>
      <c r="BA358" s="2">
        <f t="shared" si="269"/>
        <v>43891.83</v>
      </c>
      <c r="BB358" s="2">
        <f t="shared" si="269"/>
        <v>865772.65</v>
      </c>
      <c r="BC358" s="2">
        <f t="shared" si="269"/>
        <v>2697576.37</v>
      </c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3"/>
      <c r="DH358" s="3"/>
      <c r="DI358" s="3"/>
      <c r="DJ358" s="3"/>
      <c r="DK358" s="3"/>
      <c r="DL358" s="3"/>
      <c r="DM358" s="3"/>
      <c r="DN358" s="3"/>
      <c r="DO358" s="3"/>
      <c r="DP358" s="3"/>
      <c r="DQ358" s="3"/>
      <c r="DR358" s="3"/>
      <c r="DS358" s="3"/>
      <c r="DT358" s="3"/>
      <c r="DU358" s="3"/>
      <c r="DV358" s="3"/>
      <c r="DW358" s="3"/>
      <c r="DX358" s="3"/>
      <c r="DY358" s="3"/>
      <c r="DZ358" s="3"/>
      <c r="EA358" s="3"/>
      <c r="EB358" s="3"/>
      <c r="EC358" s="3"/>
      <c r="ED358" s="3"/>
      <c r="EE358" s="3"/>
      <c r="EF358" s="3"/>
      <c r="EG358" s="3"/>
      <c r="EH358" s="3"/>
      <c r="EI358" s="3"/>
      <c r="EJ358" s="3"/>
      <c r="EK358" s="3"/>
      <c r="EL358" s="3"/>
      <c r="EM358" s="3"/>
      <c r="EN358" s="3"/>
      <c r="EO358" s="3"/>
      <c r="EP358" s="3"/>
      <c r="EQ358" s="3"/>
      <c r="ER358" s="3"/>
      <c r="ES358" s="3"/>
      <c r="ET358" s="3"/>
      <c r="EU358" s="3"/>
      <c r="EV358" s="3"/>
      <c r="EW358" s="3"/>
      <c r="EX358" s="3"/>
      <c r="EY358" s="3"/>
      <c r="EZ358" s="3"/>
      <c r="FA358" s="3"/>
      <c r="FB358" s="3"/>
      <c r="FC358" s="3"/>
      <c r="FD358" s="3"/>
      <c r="FE358" s="3"/>
      <c r="FF358" s="3"/>
      <c r="FG358" s="3"/>
      <c r="FH358" s="3"/>
      <c r="FI358" s="3"/>
      <c r="FJ358" s="3"/>
      <c r="FK358" s="3"/>
      <c r="FL358" s="3"/>
      <c r="FM358" s="3"/>
      <c r="FN358" s="3"/>
      <c r="FO358" s="3"/>
      <c r="FP358" s="3"/>
      <c r="FQ358" s="3"/>
      <c r="FR358" s="3"/>
      <c r="FS358" s="3"/>
      <c r="FT358" s="3"/>
      <c r="FU358" s="3"/>
      <c r="FV358" s="3"/>
      <c r="FW358" s="3"/>
      <c r="FX358" s="3"/>
      <c r="FY358" s="3"/>
      <c r="FZ358" s="3"/>
      <c r="GA358" s="3"/>
      <c r="GB358" s="3"/>
      <c r="GC358" s="3"/>
      <c r="GD358" s="3"/>
      <c r="GE358" s="3"/>
      <c r="GF358" s="3"/>
      <c r="GG358" s="3"/>
      <c r="GH358" s="3"/>
      <c r="GI358" s="3"/>
      <c r="GJ358" s="3"/>
      <c r="GK358" s="3"/>
      <c r="GL358" s="3"/>
      <c r="GM358" s="3"/>
      <c r="GN358" s="3"/>
      <c r="GO358" s="3"/>
      <c r="GP358" s="3"/>
      <c r="GQ358" s="3"/>
      <c r="GR358" s="3"/>
      <c r="GS358" s="3"/>
      <c r="GT358" s="3"/>
      <c r="GU358" s="3"/>
      <c r="GV358" s="3"/>
      <c r="GW358" s="3"/>
      <c r="GX358" s="3">
        <v>0</v>
      </c>
    </row>
    <row r="360" spans="1:206" x14ac:dyDescent="0.2">
      <c r="A360" s="4">
        <v>50</v>
      </c>
      <c r="B360" s="4">
        <v>0</v>
      </c>
      <c r="C360" s="4">
        <v>0</v>
      </c>
      <c r="D360" s="4">
        <v>1</v>
      </c>
      <c r="E360" s="4">
        <v>201</v>
      </c>
      <c r="F360" s="4">
        <f>ROUND(Source!O358,O360)</f>
        <v>4512500.63</v>
      </c>
      <c r="G360" s="4" t="s">
        <v>74</v>
      </c>
      <c r="H360" s="4" t="s">
        <v>75</v>
      </c>
      <c r="I360" s="4"/>
      <c r="J360" s="4"/>
      <c r="K360" s="4">
        <v>201</v>
      </c>
      <c r="L360" s="4">
        <v>1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/>
    </row>
    <row r="361" spans="1:206" x14ac:dyDescent="0.2">
      <c r="A361" s="4">
        <v>50</v>
      </c>
      <c r="B361" s="4">
        <v>0</v>
      </c>
      <c r="C361" s="4">
        <v>0</v>
      </c>
      <c r="D361" s="4">
        <v>1</v>
      </c>
      <c r="E361" s="4">
        <v>202</v>
      </c>
      <c r="F361" s="4">
        <f>ROUND(Source!P358,O361)</f>
        <v>3910920.23</v>
      </c>
      <c r="G361" s="4" t="s">
        <v>76</v>
      </c>
      <c r="H361" s="4" t="s">
        <v>77</v>
      </c>
      <c r="I361" s="4"/>
      <c r="J361" s="4"/>
      <c r="K361" s="4">
        <v>202</v>
      </c>
      <c r="L361" s="4">
        <v>2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/>
    </row>
    <row r="362" spans="1:206" x14ac:dyDescent="0.2">
      <c r="A362" s="4">
        <v>50</v>
      </c>
      <c r="B362" s="4">
        <v>0</v>
      </c>
      <c r="C362" s="4">
        <v>0</v>
      </c>
      <c r="D362" s="4">
        <v>1</v>
      </c>
      <c r="E362" s="4">
        <v>222</v>
      </c>
      <c r="F362" s="4">
        <f>ROUND(Source!AO358,O362)</f>
        <v>0</v>
      </c>
      <c r="G362" s="4" t="s">
        <v>78</v>
      </c>
      <c r="H362" s="4" t="s">
        <v>79</v>
      </c>
      <c r="I362" s="4"/>
      <c r="J362" s="4"/>
      <c r="K362" s="4">
        <v>222</v>
      </c>
      <c r="L362" s="4">
        <v>3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/>
    </row>
    <row r="363" spans="1:206" x14ac:dyDescent="0.2">
      <c r="A363" s="4">
        <v>50</v>
      </c>
      <c r="B363" s="4">
        <v>0</v>
      </c>
      <c r="C363" s="4">
        <v>0</v>
      </c>
      <c r="D363" s="4">
        <v>1</v>
      </c>
      <c r="E363" s="4">
        <v>225</v>
      </c>
      <c r="F363" s="4">
        <f>ROUND(Source!AV358,O363)</f>
        <v>3910920.23</v>
      </c>
      <c r="G363" s="4" t="s">
        <v>80</v>
      </c>
      <c r="H363" s="4" t="s">
        <v>81</v>
      </c>
      <c r="I363" s="4"/>
      <c r="J363" s="4"/>
      <c r="K363" s="4">
        <v>225</v>
      </c>
      <c r="L363" s="4">
        <v>4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/>
    </row>
    <row r="364" spans="1:206" x14ac:dyDescent="0.2">
      <c r="A364" s="4">
        <v>50</v>
      </c>
      <c r="B364" s="4">
        <v>0</v>
      </c>
      <c r="C364" s="4">
        <v>0</v>
      </c>
      <c r="D364" s="4">
        <v>1</v>
      </c>
      <c r="E364" s="4">
        <v>226</v>
      </c>
      <c r="F364" s="4">
        <f>ROUND(Source!AW358,O364)</f>
        <v>2947130.99</v>
      </c>
      <c r="G364" s="4" t="s">
        <v>82</v>
      </c>
      <c r="H364" s="4" t="s">
        <v>83</v>
      </c>
      <c r="I364" s="4"/>
      <c r="J364" s="4"/>
      <c r="K364" s="4">
        <v>226</v>
      </c>
      <c r="L364" s="4">
        <v>5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/>
    </row>
    <row r="365" spans="1:206" x14ac:dyDescent="0.2">
      <c r="A365" s="4">
        <v>50</v>
      </c>
      <c r="B365" s="4">
        <v>0</v>
      </c>
      <c r="C365" s="4">
        <v>0</v>
      </c>
      <c r="D365" s="4">
        <v>1</v>
      </c>
      <c r="E365" s="4">
        <v>227</v>
      </c>
      <c r="F365" s="4">
        <f>ROUND(Source!AX358,O365)</f>
        <v>0</v>
      </c>
      <c r="G365" s="4" t="s">
        <v>84</v>
      </c>
      <c r="H365" s="4" t="s">
        <v>85</v>
      </c>
      <c r="I365" s="4"/>
      <c r="J365" s="4"/>
      <c r="K365" s="4">
        <v>227</v>
      </c>
      <c r="L365" s="4">
        <v>6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/>
    </row>
    <row r="366" spans="1:206" x14ac:dyDescent="0.2">
      <c r="A366" s="4">
        <v>50</v>
      </c>
      <c r="B366" s="4">
        <v>0</v>
      </c>
      <c r="C366" s="4">
        <v>0</v>
      </c>
      <c r="D366" s="4">
        <v>1</v>
      </c>
      <c r="E366" s="4">
        <v>228</v>
      </c>
      <c r="F366" s="4">
        <f>ROUND(Source!AY358,O366)</f>
        <v>2947130.99</v>
      </c>
      <c r="G366" s="4" t="s">
        <v>86</v>
      </c>
      <c r="H366" s="4" t="s">
        <v>87</v>
      </c>
      <c r="I366" s="4"/>
      <c r="J366" s="4"/>
      <c r="K366" s="4">
        <v>228</v>
      </c>
      <c r="L366" s="4">
        <v>7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/>
    </row>
    <row r="367" spans="1:206" x14ac:dyDescent="0.2">
      <c r="A367" s="4">
        <v>50</v>
      </c>
      <c r="B367" s="4">
        <v>0</v>
      </c>
      <c r="C367" s="4">
        <v>0</v>
      </c>
      <c r="D367" s="4">
        <v>1</v>
      </c>
      <c r="E367" s="4">
        <v>216</v>
      </c>
      <c r="F367" s="4">
        <f>ROUND(Source!AP358,O367)</f>
        <v>963789.24</v>
      </c>
      <c r="G367" s="4" t="s">
        <v>88</v>
      </c>
      <c r="H367" s="4" t="s">
        <v>89</v>
      </c>
      <c r="I367" s="4"/>
      <c r="J367" s="4"/>
      <c r="K367" s="4">
        <v>216</v>
      </c>
      <c r="L367" s="4">
        <v>8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/>
    </row>
    <row r="368" spans="1:206" x14ac:dyDescent="0.2">
      <c r="A368" s="4">
        <v>50</v>
      </c>
      <c r="B368" s="4">
        <v>0</v>
      </c>
      <c r="C368" s="4">
        <v>0</v>
      </c>
      <c r="D368" s="4">
        <v>1</v>
      </c>
      <c r="E368" s="4">
        <v>223</v>
      </c>
      <c r="F368" s="4">
        <f>ROUND(Source!AQ358,O368)</f>
        <v>0</v>
      </c>
      <c r="G368" s="4" t="s">
        <v>90</v>
      </c>
      <c r="H368" s="4" t="s">
        <v>91</v>
      </c>
      <c r="I368" s="4"/>
      <c r="J368" s="4"/>
      <c r="K368" s="4">
        <v>223</v>
      </c>
      <c r="L368" s="4">
        <v>9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/>
    </row>
    <row r="369" spans="1:23" x14ac:dyDescent="0.2">
      <c r="A369" s="4">
        <v>50</v>
      </c>
      <c r="B369" s="4">
        <v>0</v>
      </c>
      <c r="C369" s="4">
        <v>0</v>
      </c>
      <c r="D369" s="4">
        <v>1</v>
      </c>
      <c r="E369" s="4">
        <v>229</v>
      </c>
      <c r="F369" s="4">
        <f>ROUND(Source!AZ358,O369)</f>
        <v>963789.24</v>
      </c>
      <c r="G369" s="4" t="s">
        <v>92</v>
      </c>
      <c r="H369" s="4" t="s">
        <v>93</v>
      </c>
      <c r="I369" s="4"/>
      <c r="J369" s="4"/>
      <c r="K369" s="4">
        <v>229</v>
      </c>
      <c r="L369" s="4">
        <v>10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/>
    </row>
    <row r="370" spans="1:23" x14ac:dyDescent="0.2">
      <c r="A370" s="4">
        <v>50</v>
      </c>
      <c r="B370" s="4">
        <v>0</v>
      </c>
      <c r="C370" s="4">
        <v>0</v>
      </c>
      <c r="D370" s="4">
        <v>1</v>
      </c>
      <c r="E370" s="4">
        <v>203</v>
      </c>
      <c r="F370" s="4">
        <f>ROUND(Source!Q358,O370)</f>
        <v>413913.62</v>
      </c>
      <c r="G370" s="4" t="s">
        <v>94</v>
      </c>
      <c r="H370" s="4" t="s">
        <v>95</v>
      </c>
      <c r="I370" s="4"/>
      <c r="J370" s="4"/>
      <c r="K370" s="4">
        <v>203</v>
      </c>
      <c r="L370" s="4">
        <v>11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/>
    </row>
    <row r="371" spans="1:23" x14ac:dyDescent="0.2">
      <c r="A371" s="4">
        <v>50</v>
      </c>
      <c r="B371" s="4">
        <v>0</v>
      </c>
      <c r="C371" s="4">
        <v>0</v>
      </c>
      <c r="D371" s="4">
        <v>1</v>
      </c>
      <c r="E371" s="4">
        <v>231</v>
      </c>
      <c r="F371" s="4">
        <f>ROUND(Source!BB358,O371)</f>
        <v>865772.65</v>
      </c>
      <c r="G371" s="4" t="s">
        <v>96</v>
      </c>
      <c r="H371" s="4" t="s">
        <v>97</v>
      </c>
      <c r="I371" s="4"/>
      <c r="J371" s="4"/>
      <c r="K371" s="4">
        <v>231</v>
      </c>
      <c r="L371" s="4">
        <v>12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/>
    </row>
    <row r="372" spans="1:23" x14ac:dyDescent="0.2">
      <c r="A372" s="4">
        <v>50</v>
      </c>
      <c r="B372" s="4">
        <v>0</v>
      </c>
      <c r="C372" s="4">
        <v>0</v>
      </c>
      <c r="D372" s="4">
        <v>1</v>
      </c>
      <c r="E372" s="4">
        <v>204</v>
      </c>
      <c r="F372" s="4">
        <f>ROUND(Source!R358,O372)</f>
        <v>30210.29</v>
      </c>
      <c r="G372" s="4" t="s">
        <v>98</v>
      </c>
      <c r="H372" s="4" t="s">
        <v>99</v>
      </c>
      <c r="I372" s="4"/>
      <c r="J372" s="4"/>
      <c r="K372" s="4">
        <v>204</v>
      </c>
      <c r="L372" s="4">
        <v>13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/>
    </row>
    <row r="373" spans="1:23" x14ac:dyDescent="0.2">
      <c r="A373" s="4">
        <v>50</v>
      </c>
      <c r="B373" s="4">
        <v>0</v>
      </c>
      <c r="C373" s="4">
        <v>0</v>
      </c>
      <c r="D373" s="4">
        <v>1</v>
      </c>
      <c r="E373" s="4">
        <v>205</v>
      </c>
      <c r="F373" s="4">
        <f>ROUND(Source!S358,O373)</f>
        <v>187666.78</v>
      </c>
      <c r="G373" s="4" t="s">
        <v>100</v>
      </c>
      <c r="H373" s="4" t="s">
        <v>101</v>
      </c>
      <c r="I373" s="4"/>
      <c r="J373" s="4"/>
      <c r="K373" s="4">
        <v>205</v>
      </c>
      <c r="L373" s="4">
        <v>14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/>
    </row>
    <row r="374" spans="1:23" x14ac:dyDescent="0.2">
      <c r="A374" s="4">
        <v>50</v>
      </c>
      <c r="B374" s="4">
        <v>0</v>
      </c>
      <c r="C374" s="4">
        <v>0</v>
      </c>
      <c r="D374" s="4">
        <v>1</v>
      </c>
      <c r="E374" s="4">
        <v>232</v>
      </c>
      <c r="F374" s="4">
        <f>ROUND(Source!BC358,O374)</f>
        <v>2697576.37</v>
      </c>
      <c r="G374" s="4" t="s">
        <v>102</v>
      </c>
      <c r="H374" s="4" t="s">
        <v>103</v>
      </c>
      <c r="I374" s="4"/>
      <c r="J374" s="4"/>
      <c r="K374" s="4">
        <v>232</v>
      </c>
      <c r="L374" s="4">
        <v>15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/>
    </row>
    <row r="375" spans="1:23" x14ac:dyDescent="0.2">
      <c r="A375" s="4">
        <v>50</v>
      </c>
      <c r="B375" s="4">
        <v>0</v>
      </c>
      <c r="C375" s="4">
        <v>0</v>
      </c>
      <c r="D375" s="4">
        <v>1</v>
      </c>
      <c r="E375" s="4">
        <v>214</v>
      </c>
      <c r="F375" s="4">
        <f>ROUND(Source!AS358,O375)</f>
        <v>7102194.3899999997</v>
      </c>
      <c r="G375" s="4" t="s">
        <v>104</v>
      </c>
      <c r="H375" s="4" t="s">
        <v>105</v>
      </c>
      <c r="I375" s="4"/>
      <c r="J375" s="4"/>
      <c r="K375" s="4">
        <v>214</v>
      </c>
      <c r="L375" s="4">
        <v>16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/>
    </row>
    <row r="376" spans="1:23" x14ac:dyDescent="0.2">
      <c r="A376" s="4">
        <v>50</v>
      </c>
      <c r="B376" s="4">
        <v>0</v>
      </c>
      <c r="C376" s="4">
        <v>0</v>
      </c>
      <c r="D376" s="4">
        <v>1</v>
      </c>
      <c r="E376" s="4">
        <v>215</v>
      </c>
      <c r="F376" s="4">
        <f>ROUND(Source!AT358,O376)</f>
        <v>0</v>
      </c>
      <c r="G376" s="4" t="s">
        <v>106</v>
      </c>
      <c r="H376" s="4" t="s">
        <v>107</v>
      </c>
      <c r="I376" s="4"/>
      <c r="J376" s="4"/>
      <c r="K376" s="4">
        <v>215</v>
      </c>
      <c r="L376" s="4">
        <v>17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/>
    </row>
    <row r="377" spans="1:23" x14ac:dyDescent="0.2">
      <c r="A377" s="4">
        <v>50</v>
      </c>
      <c r="B377" s="4">
        <v>0</v>
      </c>
      <c r="C377" s="4">
        <v>0</v>
      </c>
      <c r="D377" s="4">
        <v>1</v>
      </c>
      <c r="E377" s="4">
        <v>217</v>
      </c>
      <c r="F377" s="4">
        <f>ROUND(Source!AU358,O377)</f>
        <v>341761.2</v>
      </c>
      <c r="G377" s="4" t="s">
        <v>108</v>
      </c>
      <c r="H377" s="4" t="s">
        <v>109</v>
      </c>
      <c r="I377" s="4"/>
      <c r="J377" s="4"/>
      <c r="K377" s="4">
        <v>217</v>
      </c>
      <c r="L377" s="4">
        <v>18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/>
    </row>
    <row r="378" spans="1:23" x14ac:dyDescent="0.2">
      <c r="A378" s="4">
        <v>50</v>
      </c>
      <c r="B378" s="4">
        <v>0</v>
      </c>
      <c r="C378" s="4">
        <v>0</v>
      </c>
      <c r="D378" s="4">
        <v>1</v>
      </c>
      <c r="E378" s="4">
        <v>230</v>
      </c>
      <c r="F378" s="4">
        <f>ROUND(Source!BA358,O378)</f>
        <v>43891.83</v>
      </c>
      <c r="G378" s="4" t="s">
        <v>110</v>
      </c>
      <c r="H378" s="4" t="s">
        <v>111</v>
      </c>
      <c r="I378" s="4"/>
      <c r="J378" s="4"/>
      <c r="K378" s="4">
        <v>230</v>
      </c>
      <c r="L378" s="4">
        <v>19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/>
    </row>
    <row r="379" spans="1:23" x14ac:dyDescent="0.2">
      <c r="A379" s="4">
        <v>50</v>
      </c>
      <c r="B379" s="4">
        <v>0</v>
      </c>
      <c r="C379" s="4">
        <v>0</v>
      </c>
      <c r="D379" s="4">
        <v>1</v>
      </c>
      <c r="E379" s="4">
        <v>206</v>
      </c>
      <c r="F379" s="4">
        <f>ROUND(Source!T358,O379)</f>
        <v>87286.87</v>
      </c>
      <c r="G379" s="4" t="s">
        <v>112</v>
      </c>
      <c r="H379" s="4" t="s">
        <v>113</v>
      </c>
      <c r="I379" s="4"/>
      <c r="J379" s="4"/>
      <c r="K379" s="4">
        <v>206</v>
      </c>
      <c r="L379" s="4">
        <v>20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/>
    </row>
    <row r="380" spans="1:23" x14ac:dyDescent="0.2">
      <c r="A380" s="4">
        <v>50</v>
      </c>
      <c r="B380" s="4">
        <v>0</v>
      </c>
      <c r="C380" s="4">
        <v>0</v>
      </c>
      <c r="D380" s="4">
        <v>1</v>
      </c>
      <c r="E380" s="4">
        <v>207</v>
      </c>
      <c r="F380" s="4">
        <f>Source!U358</f>
        <v>708.96890003899989</v>
      </c>
      <c r="G380" s="4" t="s">
        <v>114</v>
      </c>
      <c r="H380" s="4" t="s">
        <v>115</v>
      </c>
      <c r="I380" s="4"/>
      <c r="J380" s="4"/>
      <c r="K380" s="4">
        <v>207</v>
      </c>
      <c r="L380" s="4">
        <v>21</v>
      </c>
      <c r="M380" s="4">
        <v>3</v>
      </c>
      <c r="N380" s="4" t="s">
        <v>3</v>
      </c>
      <c r="O380" s="4">
        <v>-1</v>
      </c>
      <c r="P380" s="4"/>
      <c r="Q380" s="4"/>
      <c r="R380" s="4"/>
      <c r="S380" s="4"/>
      <c r="T380" s="4"/>
      <c r="U380" s="4"/>
      <c r="V380" s="4"/>
      <c r="W380" s="4"/>
    </row>
    <row r="381" spans="1:23" x14ac:dyDescent="0.2">
      <c r="A381" s="4">
        <v>50</v>
      </c>
      <c r="B381" s="4">
        <v>0</v>
      </c>
      <c r="C381" s="4">
        <v>0</v>
      </c>
      <c r="D381" s="4">
        <v>1</v>
      </c>
      <c r="E381" s="4">
        <v>208</v>
      </c>
      <c r="F381" s="4">
        <f>Source!V358</f>
        <v>0</v>
      </c>
      <c r="G381" s="4" t="s">
        <v>116</v>
      </c>
      <c r="H381" s="4" t="s">
        <v>117</v>
      </c>
      <c r="I381" s="4"/>
      <c r="J381" s="4"/>
      <c r="K381" s="4">
        <v>208</v>
      </c>
      <c r="L381" s="4">
        <v>22</v>
      </c>
      <c r="M381" s="4">
        <v>3</v>
      </c>
      <c r="N381" s="4" t="s">
        <v>3</v>
      </c>
      <c r="O381" s="4">
        <v>-1</v>
      </c>
      <c r="P381" s="4"/>
      <c r="Q381" s="4"/>
      <c r="R381" s="4"/>
      <c r="S381" s="4"/>
      <c r="T381" s="4"/>
      <c r="U381" s="4"/>
      <c r="V381" s="4"/>
      <c r="W381" s="4"/>
    </row>
    <row r="382" spans="1:23" x14ac:dyDescent="0.2">
      <c r="A382" s="4">
        <v>50</v>
      </c>
      <c r="B382" s="4">
        <v>0</v>
      </c>
      <c r="C382" s="4">
        <v>0</v>
      </c>
      <c r="D382" s="4">
        <v>1</v>
      </c>
      <c r="E382" s="4">
        <v>209</v>
      </c>
      <c r="F382" s="4">
        <f>ROUND(Source!W358,O382)</f>
        <v>0</v>
      </c>
      <c r="G382" s="4" t="s">
        <v>118</v>
      </c>
      <c r="H382" s="4" t="s">
        <v>119</v>
      </c>
      <c r="I382" s="4"/>
      <c r="J382" s="4"/>
      <c r="K382" s="4">
        <v>209</v>
      </c>
      <c r="L382" s="4">
        <v>23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/>
    </row>
    <row r="383" spans="1:23" x14ac:dyDescent="0.2">
      <c r="A383" s="4">
        <v>50</v>
      </c>
      <c r="B383" s="4">
        <v>0</v>
      </c>
      <c r="C383" s="4">
        <v>0</v>
      </c>
      <c r="D383" s="4">
        <v>1</v>
      </c>
      <c r="E383" s="4">
        <v>210</v>
      </c>
      <c r="F383" s="4">
        <f>ROUND(Source!X358,O383)</f>
        <v>191813.64</v>
      </c>
      <c r="G383" s="4" t="s">
        <v>120</v>
      </c>
      <c r="H383" s="4" t="s">
        <v>121</v>
      </c>
      <c r="I383" s="4"/>
      <c r="J383" s="4"/>
      <c r="K383" s="4">
        <v>210</v>
      </c>
      <c r="L383" s="4">
        <v>24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/>
    </row>
    <row r="384" spans="1:23" x14ac:dyDescent="0.2">
      <c r="A384" s="4">
        <v>50</v>
      </c>
      <c r="B384" s="4">
        <v>0</v>
      </c>
      <c r="C384" s="4">
        <v>0</v>
      </c>
      <c r="D384" s="4">
        <v>1</v>
      </c>
      <c r="E384" s="4">
        <v>211</v>
      </c>
      <c r="F384" s="4">
        <f>ROUND(Source!Y358,O384)</f>
        <v>92651.38</v>
      </c>
      <c r="G384" s="4" t="s">
        <v>122</v>
      </c>
      <c r="H384" s="4" t="s">
        <v>123</v>
      </c>
      <c r="I384" s="4"/>
      <c r="J384" s="4"/>
      <c r="K384" s="4">
        <v>211</v>
      </c>
      <c r="L384" s="4">
        <v>25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/>
    </row>
    <row r="385" spans="1:27" x14ac:dyDescent="0.2">
      <c r="A385" s="4">
        <v>50</v>
      </c>
      <c r="B385" s="4">
        <v>0</v>
      </c>
      <c r="C385" s="4">
        <v>0</v>
      </c>
      <c r="D385" s="4">
        <v>1</v>
      </c>
      <c r="E385" s="4">
        <v>224</v>
      </c>
      <c r="F385" s="4">
        <f>ROUND(Source!AR358,O385)</f>
        <v>8451636.6600000001</v>
      </c>
      <c r="G385" s="4" t="s">
        <v>124</v>
      </c>
      <c r="H385" s="4" t="s">
        <v>125</v>
      </c>
      <c r="I385" s="4"/>
      <c r="J385" s="4"/>
      <c r="K385" s="4">
        <v>224</v>
      </c>
      <c r="L385" s="4">
        <v>26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/>
    </row>
    <row r="388" spans="1:27" x14ac:dyDescent="0.2">
      <c r="A388">
        <v>-1</v>
      </c>
    </row>
    <row r="390" spans="1:27" x14ac:dyDescent="0.2">
      <c r="A390" s="3">
        <v>75</v>
      </c>
      <c r="B390" s="3" t="s">
        <v>300</v>
      </c>
      <c r="C390" s="3">
        <v>2019</v>
      </c>
      <c r="D390" s="3">
        <v>0</v>
      </c>
      <c r="E390" s="3">
        <v>2</v>
      </c>
      <c r="F390" s="3"/>
      <c r="G390" s="3">
        <v>0</v>
      </c>
      <c r="H390" s="3">
        <v>2</v>
      </c>
      <c r="I390" s="3">
        <v>1</v>
      </c>
      <c r="J390" s="3">
        <v>1</v>
      </c>
      <c r="K390" s="3">
        <v>93</v>
      </c>
      <c r="L390" s="3">
        <v>64</v>
      </c>
      <c r="M390" s="3">
        <v>0</v>
      </c>
      <c r="N390" s="3">
        <v>309315610</v>
      </c>
      <c r="O390" s="3">
        <v>1</v>
      </c>
    </row>
    <row r="391" spans="1:27" x14ac:dyDescent="0.2">
      <c r="A391" s="5">
        <v>1</v>
      </c>
      <c r="B391" s="5" t="s">
        <v>301</v>
      </c>
      <c r="C391" s="5" t="s">
        <v>302</v>
      </c>
      <c r="D391" s="5">
        <v>2019</v>
      </c>
      <c r="E391" s="5">
        <v>2</v>
      </c>
      <c r="F391" s="5">
        <v>1</v>
      </c>
      <c r="G391" s="5">
        <v>1</v>
      </c>
      <c r="H391" s="5">
        <v>0</v>
      </c>
      <c r="I391" s="5">
        <v>2</v>
      </c>
      <c r="J391" s="5">
        <v>1</v>
      </c>
      <c r="K391" s="5">
        <v>1</v>
      </c>
      <c r="L391" s="5">
        <v>1</v>
      </c>
      <c r="M391" s="5">
        <v>1</v>
      </c>
      <c r="N391" s="5">
        <v>1</v>
      </c>
      <c r="O391" s="5">
        <v>1</v>
      </c>
      <c r="P391" s="5">
        <v>1</v>
      </c>
      <c r="Q391" s="5">
        <v>1</v>
      </c>
      <c r="R391" s="5" t="s">
        <v>3</v>
      </c>
      <c r="S391" s="5" t="s">
        <v>3</v>
      </c>
      <c r="T391" s="5" t="s">
        <v>3</v>
      </c>
      <c r="U391" s="5" t="s">
        <v>3</v>
      </c>
      <c r="V391" s="5" t="s">
        <v>3</v>
      </c>
      <c r="W391" s="5" t="s">
        <v>3</v>
      </c>
      <c r="X391" s="5" t="s">
        <v>3</v>
      </c>
      <c r="Y391" s="5" t="s">
        <v>3</v>
      </c>
      <c r="Z391" s="5" t="s">
        <v>3</v>
      </c>
      <c r="AA391" s="5" t="s">
        <v>303</v>
      </c>
    </row>
    <row r="395" spans="1:27" x14ac:dyDescent="0.2">
      <c r="A395">
        <v>65</v>
      </c>
      <c r="C395">
        <v>1</v>
      </c>
      <c r="D395">
        <v>0</v>
      </c>
      <c r="E395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304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21827590</v>
      </c>
      <c r="N1">
        <v>10</v>
      </c>
      <c r="O1">
        <v>1</v>
      </c>
      <c r="P1">
        <v>0</v>
      </c>
      <c r="Q1">
        <v>11</v>
      </c>
    </row>
    <row r="12" spans="1:133" x14ac:dyDescent="0.2">
      <c r="A12" s="1">
        <v>1</v>
      </c>
      <c r="B12" s="1">
        <v>50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0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41481</v>
      </c>
      <c r="CI12" s="1" t="s">
        <v>3</v>
      </c>
      <c r="CJ12" s="1" t="s">
        <v>3</v>
      </c>
      <c r="CK12" s="1">
        <v>51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309315610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11</v>
      </c>
      <c r="D16" s="6" t="s">
        <v>3</v>
      </c>
      <c r="E16" s="7">
        <f>(Source!F346)/1000</f>
        <v>7102.1943899999997</v>
      </c>
      <c r="F16" s="7">
        <f>(Source!F347)/1000</f>
        <v>0</v>
      </c>
      <c r="G16" s="7">
        <f>(Source!F338)/1000</f>
        <v>963.78923999999995</v>
      </c>
      <c r="H16" s="7">
        <f>(Source!F348)/1000+(Source!F349)/1000</f>
        <v>385.65303000000006</v>
      </c>
      <c r="I16" s="7">
        <f>E16+F16+G16+H16</f>
        <v>8451.6366600000001</v>
      </c>
      <c r="J16" s="7">
        <f>(Source!F344)/1000</f>
        <v>187.66677999999999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4512500.63</v>
      </c>
      <c r="AU16" s="7">
        <v>3910920.23</v>
      </c>
      <c r="AV16" s="7">
        <v>0</v>
      </c>
      <c r="AW16" s="7">
        <v>963789.24</v>
      </c>
      <c r="AX16" s="7">
        <v>0</v>
      </c>
      <c r="AY16" s="7">
        <v>413913.62</v>
      </c>
      <c r="AZ16" s="7">
        <v>30210.29</v>
      </c>
      <c r="BA16" s="7">
        <v>187666.78</v>
      </c>
      <c r="BB16" s="7">
        <v>7102194.3899999997</v>
      </c>
      <c r="BC16" s="7">
        <v>0</v>
      </c>
      <c r="BD16" s="7">
        <v>341761.2</v>
      </c>
      <c r="BE16" s="7">
        <v>87286.87</v>
      </c>
      <c r="BF16" s="7">
        <v>708.96890003899989</v>
      </c>
      <c r="BG16" s="7">
        <v>0</v>
      </c>
      <c r="BH16" s="7">
        <v>0</v>
      </c>
      <c r="BI16" s="7">
        <v>191813.64</v>
      </c>
      <c r="BJ16" s="7">
        <v>92651.38</v>
      </c>
      <c r="BK16" s="7">
        <v>8451636.6600000001</v>
      </c>
    </row>
    <row r="18" spans="1:19" x14ac:dyDescent="0.2">
      <c r="A18">
        <v>51</v>
      </c>
      <c r="E18" s="8">
        <f>SUMIF(A16:A17,3,E16:E17)</f>
        <v>7102.1943899999997</v>
      </c>
      <c r="F18" s="8">
        <f>SUMIF(A16:A17,3,F16:F17)</f>
        <v>0</v>
      </c>
      <c r="G18" s="8">
        <f>SUMIF(A16:A17,3,G16:G17)</f>
        <v>963.78923999999995</v>
      </c>
      <c r="H18" s="8">
        <f>SUMIF(A16:A17,3,H16:H17)</f>
        <v>385.65303000000006</v>
      </c>
      <c r="I18" s="8">
        <f>SUMIF(A16:A17,3,I16:I17)</f>
        <v>8451.6366600000001</v>
      </c>
      <c r="J18" s="8">
        <f>SUMIF(A16:A17,3,J16:J17)</f>
        <v>187.66677999999999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4512500.63</v>
      </c>
      <c r="G20" s="4" t="s">
        <v>74</v>
      </c>
      <c r="H20" s="4" t="s">
        <v>75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3910920.23</v>
      </c>
      <c r="G21" s="4" t="s">
        <v>76</v>
      </c>
      <c r="H21" s="4" t="s">
        <v>77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78</v>
      </c>
      <c r="H22" s="4" t="s">
        <v>79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3910920.23</v>
      </c>
      <c r="G23" s="4" t="s">
        <v>80</v>
      </c>
      <c r="H23" s="4" t="s">
        <v>81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2947130.99</v>
      </c>
      <c r="G24" s="4" t="s">
        <v>82</v>
      </c>
      <c r="H24" s="4" t="s">
        <v>83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84</v>
      </c>
      <c r="H25" s="4" t="s">
        <v>85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2947130.99</v>
      </c>
      <c r="G26" s="4" t="s">
        <v>86</v>
      </c>
      <c r="H26" s="4" t="s">
        <v>87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963789.24</v>
      </c>
      <c r="G27" s="4" t="s">
        <v>88</v>
      </c>
      <c r="H27" s="4" t="s">
        <v>89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90</v>
      </c>
      <c r="H28" s="4" t="s">
        <v>91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963789.24</v>
      </c>
      <c r="G29" s="4" t="s">
        <v>92</v>
      </c>
      <c r="H29" s="4" t="s">
        <v>93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413913.62</v>
      </c>
      <c r="G30" s="4" t="s">
        <v>94</v>
      </c>
      <c r="H30" s="4" t="s">
        <v>95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865772.65</v>
      </c>
      <c r="G31" s="4" t="s">
        <v>96</v>
      </c>
      <c r="H31" s="4" t="s">
        <v>97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30210.29</v>
      </c>
      <c r="G32" s="4" t="s">
        <v>98</v>
      </c>
      <c r="H32" s="4" t="s">
        <v>99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187666.78</v>
      </c>
      <c r="G33" s="4" t="s">
        <v>100</v>
      </c>
      <c r="H33" s="4" t="s">
        <v>101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2697576.37</v>
      </c>
      <c r="G34" s="4" t="s">
        <v>102</v>
      </c>
      <c r="H34" s="4" t="s">
        <v>103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7102194.3899999997</v>
      </c>
      <c r="G35" s="4" t="s">
        <v>104</v>
      </c>
      <c r="H35" s="4" t="s">
        <v>105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106</v>
      </c>
      <c r="H36" s="4" t="s">
        <v>107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341761.2</v>
      </c>
      <c r="G37" s="4" t="s">
        <v>108</v>
      </c>
      <c r="H37" s="4" t="s">
        <v>109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43891.83</v>
      </c>
      <c r="G38" s="4" t="s">
        <v>110</v>
      </c>
      <c r="H38" s="4" t="s">
        <v>111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87286.87</v>
      </c>
      <c r="G39" s="4" t="s">
        <v>112</v>
      </c>
      <c r="H39" s="4" t="s">
        <v>113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708.96890003899989</v>
      </c>
      <c r="G40" s="4" t="s">
        <v>114</v>
      </c>
      <c r="H40" s="4" t="s">
        <v>115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116</v>
      </c>
      <c r="H41" s="4" t="s">
        <v>117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118</v>
      </c>
      <c r="H42" s="4" t="s">
        <v>119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210</v>
      </c>
      <c r="F43" s="4">
        <v>191813.64</v>
      </c>
      <c r="G43" s="4" t="s">
        <v>120</v>
      </c>
      <c r="H43" s="4" t="s">
        <v>121</v>
      </c>
      <c r="I43" s="4"/>
      <c r="J43" s="4"/>
      <c r="K43" s="4">
        <v>210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211</v>
      </c>
      <c r="F44" s="4">
        <v>92651.38</v>
      </c>
      <c r="G44" s="4" t="s">
        <v>122</v>
      </c>
      <c r="H44" s="4" t="s">
        <v>123</v>
      </c>
      <c r="I44" s="4"/>
      <c r="J44" s="4"/>
      <c r="K44" s="4">
        <v>211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224</v>
      </c>
      <c r="F45" s="4">
        <v>8451636.6600000001</v>
      </c>
      <c r="G45" s="4" t="s">
        <v>124</v>
      </c>
      <c r="H45" s="4" t="s">
        <v>125</v>
      </c>
      <c r="I45" s="4"/>
      <c r="J45" s="4"/>
      <c r="K45" s="4">
        <v>224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7" spans="1:16" x14ac:dyDescent="0.2">
      <c r="A47">
        <v>-1</v>
      </c>
    </row>
    <row r="50" spans="1:27" x14ac:dyDescent="0.2">
      <c r="A50" s="3">
        <v>75</v>
      </c>
      <c r="B50" s="3" t="s">
        <v>300</v>
      </c>
      <c r="C50" s="3">
        <v>2019</v>
      </c>
      <c r="D50" s="3">
        <v>0</v>
      </c>
      <c r="E50" s="3">
        <v>2</v>
      </c>
      <c r="F50" s="3"/>
      <c r="G50" s="3">
        <v>0</v>
      </c>
      <c r="H50" s="3">
        <v>2</v>
      </c>
      <c r="I50" s="3">
        <v>1</v>
      </c>
      <c r="J50" s="3">
        <v>1</v>
      </c>
      <c r="K50" s="3">
        <v>93</v>
      </c>
      <c r="L50" s="3">
        <v>64</v>
      </c>
      <c r="M50" s="3">
        <v>0</v>
      </c>
      <c r="N50" s="3">
        <v>309315610</v>
      </c>
      <c r="O50" s="3">
        <v>1</v>
      </c>
    </row>
    <row r="51" spans="1:27" x14ac:dyDescent="0.2">
      <c r="A51" s="5">
        <v>1</v>
      </c>
      <c r="B51" s="5" t="s">
        <v>301</v>
      </c>
      <c r="C51" s="5" t="s">
        <v>302</v>
      </c>
      <c r="D51" s="5">
        <v>2019</v>
      </c>
      <c r="E51" s="5">
        <v>2</v>
      </c>
      <c r="F51" s="5">
        <v>1</v>
      </c>
      <c r="G51" s="5">
        <v>1</v>
      </c>
      <c r="H51" s="5">
        <v>0</v>
      </c>
      <c r="I51" s="5">
        <v>2</v>
      </c>
      <c r="J51" s="5">
        <v>1</v>
      </c>
      <c r="K51" s="5">
        <v>1</v>
      </c>
      <c r="L51" s="5">
        <v>1</v>
      </c>
      <c r="M51" s="5">
        <v>1</v>
      </c>
      <c r="N51" s="5">
        <v>1</v>
      </c>
      <c r="O51" s="5">
        <v>1</v>
      </c>
      <c r="P51" s="5">
        <v>1</v>
      </c>
      <c r="Q51" s="5">
        <v>1</v>
      </c>
      <c r="R51" s="5" t="s">
        <v>3</v>
      </c>
      <c r="S51" s="5" t="s">
        <v>3</v>
      </c>
      <c r="T51" s="5" t="s">
        <v>3</v>
      </c>
      <c r="U51" s="5" t="s">
        <v>3</v>
      </c>
      <c r="V51" s="5" t="s">
        <v>3</v>
      </c>
      <c r="W51" s="5" t="s">
        <v>3</v>
      </c>
      <c r="X51" s="5" t="s">
        <v>3</v>
      </c>
      <c r="Y51" s="5" t="s">
        <v>3</v>
      </c>
      <c r="Z51" s="5" t="s">
        <v>3</v>
      </c>
      <c r="AA51" s="5" t="s">
        <v>303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ROW(Source!A28)</f>
        <v>28</v>
      </c>
      <c r="B1">
        <v>309315610</v>
      </c>
      <c r="C1">
        <v>309316116</v>
      </c>
      <c r="D1">
        <v>89440730</v>
      </c>
      <c r="E1">
        <v>89440001</v>
      </c>
      <c r="F1">
        <v>1</v>
      </c>
      <c r="G1">
        <v>89440001</v>
      </c>
      <c r="H1">
        <v>2</v>
      </c>
      <c r="I1" t="s">
        <v>305</v>
      </c>
      <c r="J1" t="s">
        <v>3</v>
      </c>
      <c r="K1" t="s">
        <v>306</v>
      </c>
      <c r="L1">
        <v>1344</v>
      </c>
      <c r="N1">
        <v>1008</v>
      </c>
      <c r="O1" t="s">
        <v>307</v>
      </c>
      <c r="P1" t="s">
        <v>307</v>
      </c>
      <c r="Q1">
        <v>1</v>
      </c>
      <c r="W1">
        <v>0</v>
      </c>
      <c r="X1">
        <v>-1180195794</v>
      </c>
      <c r="Y1">
        <v>165.16299999999998</v>
      </c>
      <c r="AA1">
        <v>0</v>
      </c>
      <c r="AB1">
        <v>1</v>
      </c>
      <c r="AC1">
        <v>0</v>
      </c>
      <c r="AD1">
        <v>0</v>
      </c>
      <c r="AE1">
        <v>0</v>
      </c>
      <c r="AF1">
        <v>1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167</v>
      </c>
      <c r="AU1" t="s">
        <v>21</v>
      </c>
      <c r="AV1">
        <v>0</v>
      </c>
      <c r="AW1">
        <v>2</v>
      </c>
      <c r="AX1">
        <v>309316135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3154.6133</v>
      </c>
      <c r="CY1">
        <f>AB1</f>
        <v>1</v>
      </c>
      <c r="CZ1">
        <f>AF1</f>
        <v>1</v>
      </c>
      <c r="DA1">
        <f>AJ1</f>
        <v>1</v>
      </c>
      <c r="DB1">
        <f>ROUND((ROUND(AT1*CZ1,2)*1.15*0.86),6)</f>
        <v>165.16300000000001</v>
      </c>
      <c r="DC1">
        <f>ROUND((ROUND(AT1*AG1,2)*1.15*0.86),6)</f>
        <v>0</v>
      </c>
    </row>
    <row r="2" spans="1:107" x14ac:dyDescent="0.2">
      <c r="A2">
        <f>ROW(Source!A28)</f>
        <v>28</v>
      </c>
      <c r="B2">
        <v>309315610</v>
      </c>
      <c r="C2">
        <v>309316116</v>
      </c>
      <c r="D2">
        <v>89461287</v>
      </c>
      <c r="E2">
        <v>89440001</v>
      </c>
      <c r="F2">
        <v>1</v>
      </c>
      <c r="G2">
        <v>89440001</v>
      </c>
      <c r="H2">
        <v>3</v>
      </c>
      <c r="I2" t="s">
        <v>27</v>
      </c>
      <c r="J2" t="s">
        <v>3</v>
      </c>
      <c r="K2" t="s">
        <v>28</v>
      </c>
      <c r="L2">
        <v>1348</v>
      </c>
      <c r="N2">
        <v>1009</v>
      </c>
      <c r="O2" t="s">
        <v>29</v>
      </c>
      <c r="P2" t="s">
        <v>29</v>
      </c>
      <c r="Q2">
        <v>1000</v>
      </c>
      <c r="W2">
        <v>0</v>
      </c>
      <c r="X2">
        <v>1489638031</v>
      </c>
      <c r="Y2">
        <v>1.092E-4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0</v>
      </c>
      <c r="AP2">
        <v>1</v>
      </c>
      <c r="AQ2">
        <v>0</v>
      </c>
      <c r="AR2">
        <v>0</v>
      </c>
      <c r="AS2" t="s">
        <v>3</v>
      </c>
      <c r="AT2">
        <v>1.3999999999999999E-4</v>
      </c>
      <c r="AU2" t="s">
        <v>20</v>
      </c>
      <c r="AV2">
        <v>0</v>
      </c>
      <c r="AW2">
        <v>2</v>
      </c>
      <c r="AX2">
        <v>309316139</v>
      </c>
      <c r="AY2">
        <v>1</v>
      </c>
      <c r="AZ2">
        <v>0</v>
      </c>
      <c r="BA2">
        <v>2</v>
      </c>
      <c r="BB2">
        <v>3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2.0857200000000001E-3</v>
      </c>
      <c r="CY2">
        <f>AA2</f>
        <v>0</v>
      </c>
      <c r="CZ2">
        <f>AE2</f>
        <v>0</v>
      </c>
      <c r="DA2">
        <f>AI2</f>
        <v>1</v>
      </c>
      <c r="DB2">
        <f>ROUND((ROUND(AT2*CZ2,2)*0.78),6)</f>
        <v>0</v>
      </c>
      <c r="DC2">
        <f>ROUND((ROUND(AT2*AG2,2)*0.78),6)</f>
        <v>0</v>
      </c>
    </row>
    <row r="3" spans="1:107" x14ac:dyDescent="0.2">
      <c r="A3">
        <f>ROW(Source!A28)</f>
        <v>28</v>
      </c>
      <c r="B3">
        <v>309315610</v>
      </c>
      <c r="C3">
        <v>309316116</v>
      </c>
      <c r="D3">
        <v>89461289</v>
      </c>
      <c r="E3">
        <v>89440001</v>
      </c>
      <c r="F3">
        <v>1</v>
      </c>
      <c r="G3">
        <v>89440001</v>
      </c>
      <c r="H3">
        <v>3</v>
      </c>
      <c r="I3" t="s">
        <v>31</v>
      </c>
      <c r="J3" t="s">
        <v>3</v>
      </c>
      <c r="K3" t="s">
        <v>32</v>
      </c>
      <c r="L3">
        <v>1339</v>
      </c>
      <c r="N3">
        <v>1007</v>
      </c>
      <c r="O3" t="s">
        <v>33</v>
      </c>
      <c r="P3" t="s">
        <v>33</v>
      </c>
      <c r="Q3">
        <v>1</v>
      </c>
      <c r="W3">
        <v>0</v>
      </c>
      <c r="X3">
        <v>179728826</v>
      </c>
      <c r="Y3">
        <v>0.68312400000000006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0</v>
      </c>
      <c r="AP3">
        <v>1</v>
      </c>
      <c r="AQ3">
        <v>0</v>
      </c>
      <c r="AR3">
        <v>0</v>
      </c>
      <c r="AS3" t="s">
        <v>3</v>
      </c>
      <c r="AT3">
        <v>0.87580000000000002</v>
      </c>
      <c r="AU3" t="s">
        <v>20</v>
      </c>
      <c r="AV3">
        <v>0</v>
      </c>
      <c r="AW3">
        <v>2</v>
      </c>
      <c r="AX3">
        <v>309316140</v>
      </c>
      <c r="AY3">
        <v>1</v>
      </c>
      <c r="AZ3">
        <v>0</v>
      </c>
      <c r="BA3">
        <v>3</v>
      </c>
      <c r="BB3">
        <v>3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Y3*Source!I28</f>
        <v>13.047668400000003</v>
      </c>
      <c r="CY3">
        <f>AA3</f>
        <v>0</v>
      </c>
      <c r="CZ3">
        <f>AE3</f>
        <v>0</v>
      </c>
      <c r="DA3">
        <f>AI3</f>
        <v>1</v>
      </c>
      <c r="DB3">
        <f>ROUND((ROUND(AT3*CZ3,2)*0.78),6)</f>
        <v>0</v>
      </c>
      <c r="DC3">
        <f>ROUND((ROUND(AT3*AG3,2)*0.78),6)</f>
        <v>0</v>
      </c>
    </row>
    <row r="4" spans="1:107" x14ac:dyDescent="0.2">
      <c r="A4">
        <f>ROW(Source!A31)</f>
        <v>31</v>
      </c>
      <c r="B4">
        <v>309315610</v>
      </c>
      <c r="C4">
        <v>309316181</v>
      </c>
      <c r="D4">
        <v>89440730</v>
      </c>
      <c r="E4">
        <v>89440001</v>
      </c>
      <c r="F4">
        <v>1</v>
      </c>
      <c r="G4">
        <v>89440001</v>
      </c>
      <c r="H4">
        <v>2</v>
      </c>
      <c r="I4" t="s">
        <v>305</v>
      </c>
      <c r="J4" t="s">
        <v>3</v>
      </c>
      <c r="K4" t="s">
        <v>306</v>
      </c>
      <c r="L4">
        <v>1344</v>
      </c>
      <c r="N4">
        <v>1008</v>
      </c>
      <c r="O4" t="s">
        <v>307</v>
      </c>
      <c r="P4" t="s">
        <v>307</v>
      </c>
      <c r="Q4">
        <v>1</v>
      </c>
      <c r="W4">
        <v>0</v>
      </c>
      <c r="X4">
        <v>-1180195794</v>
      </c>
      <c r="Y4">
        <v>34.5</v>
      </c>
      <c r="AA4">
        <v>0</v>
      </c>
      <c r="AB4">
        <v>1</v>
      </c>
      <c r="AC4">
        <v>0</v>
      </c>
      <c r="AD4">
        <v>0</v>
      </c>
      <c r="AE4">
        <v>0</v>
      </c>
      <c r="AF4">
        <v>1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30</v>
      </c>
      <c r="AU4" t="s">
        <v>39</v>
      </c>
      <c r="AV4">
        <v>0</v>
      </c>
      <c r="AW4">
        <v>2</v>
      </c>
      <c r="AX4">
        <v>309316184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Y4*Source!I31</f>
        <v>6589.5</v>
      </c>
      <c r="CY4">
        <f>AB4</f>
        <v>1</v>
      </c>
      <c r="CZ4">
        <f>AF4</f>
        <v>1</v>
      </c>
      <c r="DA4">
        <f>AJ4</f>
        <v>1</v>
      </c>
      <c r="DB4">
        <f>ROUND((ROUND(AT4*CZ4,2)*1.15),6)</f>
        <v>34.5</v>
      </c>
      <c r="DC4">
        <f>ROUND((ROUND(AT4*AG4,2)*1.15),6)</f>
        <v>0</v>
      </c>
    </row>
    <row r="5" spans="1:107" x14ac:dyDescent="0.2">
      <c r="A5">
        <f>ROW(Source!A31)</f>
        <v>31</v>
      </c>
      <c r="B5">
        <v>309315610</v>
      </c>
      <c r="C5">
        <v>309316181</v>
      </c>
      <c r="D5">
        <v>89461289</v>
      </c>
      <c r="E5">
        <v>89440001</v>
      </c>
      <c r="F5">
        <v>1</v>
      </c>
      <c r="G5">
        <v>89440001</v>
      </c>
      <c r="H5">
        <v>3</v>
      </c>
      <c r="I5" t="s">
        <v>31</v>
      </c>
      <c r="J5" t="s">
        <v>3</v>
      </c>
      <c r="K5" t="s">
        <v>32</v>
      </c>
      <c r="L5">
        <v>1339</v>
      </c>
      <c r="N5">
        <v>1007</v>
      </c>
      <c r="O5" t="s">
        <v>33</v>
      </c>
      <c r="P5" t="s">
        <v>33</v>
      </c>
      <c r="Q5">
        <v>1</v>
      </c>
      <c r="W5">
        <v>0</v>
      </c>
      <c r="X5">
        <v>179728826</v>
      </c>
      <c r="Y5">
        <v>0.2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0</v>
      </c>
      <c r="AP5">
        <v>0</v>
      </c>
      <c r="AQ5">
        <v>0</v>
      </c>
      <c r="AR5">
        <v>0</v>
      </c>
      <c r="AS5" t="s">
        <v>3</v>
      </c>
      <c r="AT5">
        <v>0.2</v>
      </c>
      <c r="AU5" t="s">
        <v>3</v>
      </c>
      <c r="AV5">
        <v>0</v>
      </c>
      <c r="AW5">
        <v>2</v>
      </c>
      <c r="AX5">
        <v>309316191</v>
      </c>
      <c r="AY5">
        <v>1</v>
      </c>
      <c r="AZ5">
        <v>0</v>
      </c>
      <c r="BA5">
        <v>5</v>
      </c>
      <c r="BB5">
        <v>3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Y5*Source!I31</f>
        <v>38.200000000000003</v>
      </c>
      <c r="CY5">
        <f>AA5</f>
        <v>0</v>
      </c>
      <c r="CZ5">
        <f>AE5</f>
        <v>0</v>
      </c>
      <c r="DA5">
        <f>AI5</f>
        <v>1</v>
      </c>
      <c r="DB5">
        <f t="shared" ref="DB5:DB12" si="0">ROUND(ROUND(AT5*CZ5,2),6)</f>
        <v>0</v>
      </c>
      <c r="DC5">
        <f t="shared" ref="DC5:DC12" si="1">ROUND(ROUND(AT5*AG5,2),6)</f>
        <v>0</v>
      </c>
    </row>
    <row r="6" spans="1:107" x14ac:dyDescent="0.2">
      <c r="A6">
        <f>ROW(Source!A33)</f>
        <v>33</v>
      </c>
      <c r="B6">
        <v>309315610</v>
      </c>
      <c r="C6">
        <v>309316196</v>
      </c>
      <c r="D6">
        <v>89440006</v>
      </c>
      <c r="E6">
        <v>89440001</v>
      </c>
      <c r="F6">
        <v>1</v>
      </c>
      <c r="G6">
        <v>89440001</v>
      </c>
      <c r="H6">
        <v>1</v>
      </c>
      <c r="I6" t="s">
        <v>308</v>
      </c>
      <c r="J6" t="s">
        <v>3</v>
      </c>
      <c r="K6" t="s">
        <v>309</v>
      </c>
      <c r="L6">
        <v>1191</v>
      </c>
      <c r="N6">
        <v>1013</v>
      </c>
      <c r="O6" t="s">
        <v>310</v>
      </c>
      <c r="P6" t="s">
        <v>310</v>
      </c>
      <c r="Q6">
        <v>1</v>
      </c>
      <c r="W6">
        <v>0</v>
      </c>
      <c r="X6">
        <v>476480486</v>
      </c>
      <c r="Y6">
        <v>1.38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1.38</v>
      </c>
      <c r="AU6" t="s">
        <v>3</v>
      </c>
      <c r="AV6">
        <v>1</v>
      </c>
      <c r="AW6">
        <v>2</v>
      </c>
      <c r="AX6">
        <v>309316201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Y6*Source!I33</f>
        <v>0.70724999999999993</v>
      </c>
      <c r="CY6">
        <f>AD6</f>
        <v>0</v>
      </c>
      <c r="CZ6">
        <f>AH6</f>
        <v>0</v>
      </c>
      <c r="DA6">
        <f>AL6</f>
        <v>1</v>
      </c>
      <c r="DB6">
        <f t="shared" si="0"/>
        <v>0</v>
      </c>
      <c r="DC6">
        <f t="shared" si="1"/>
        <v>0</v>
      </c>
    </row>
    <row r="7" spans="1:107" x14ac:dyDescent="0.2">
      <c r="A7">
        <f>ROW(Source!A33)</f>
        <v>33</v>
      </c>
      <c r="B7">
        <v>309315610</v>
      </c>
      <c r="C7">
        <v>309316196</v>
      </c>
      <c r="D7">
        <v>89511139</v>
      </c>
      <c r="E7">
        <v>1</v>
      </c>
      <c r="F7">
        <v>1</v>
      </c>
      <c r="G7">
        <v>89440001</v>
      </c>
      <c r="H7">
        <v>2</v>
      </c>
      <c r="I7" t="s">
        <v>311</v>
      </c>
      <c r="J7" t="s">
        <v>312</v>
      </c>
      <c r="K7" t="s">
        <v>313</v>
      </c>
      <c r="L7">
        <v>1367</v>
      </c>
      <c r="N7">
        <v>1011</v>
      </c>
      <c r="O7" t="s">
        <v>314</v>
      </c>
      <c r="P7" t="s">
        <v>314</v>
      </c>
      <c r="Q7">
        <v>1</v>
      </c>
      <c r="W7">
        <v>0</v>
      </c>
      <c r="X7">
        <v>781556702</v>
      </c>
      <c r="Y7">
        <v>3.9874999999999998</v>
      </c>
      <c r="AA7">
        <v>0</v>
      </c>
      <c r="AB7">
        <v>1749.97</v>
      </c>
      <c r="AC7">
        <v>730.57</v>
      </c>
      <c r="AD7">
        <v>0</v>
      </c>
      <c r="AE7">
        <v>0</v>
      </c>
      <c r="AF7">
        <v>162.4</v>
      </c>
      <c r="AG7">
        <v>28.6</v>
      </c>
      <c r="AH7">
        <v>0</v>
      </c>
      <c r="AI7">
        <v>1</v>
      </c>
      <c r="AJ7">
        <v>9.0399999999999991</v>
      </c>
      <c r="AK7">
        <v>21.43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3.9874999999999998</v>
      </c>
      <c r="AU7" t="s">
        <v>3</v>
      </c>
      <c r="AV7">
        <v>0</v>
      </c>
      <c r="AW7">
        <v>2</v>
      </c>
      <c r="AX7">
        <v>309316203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Y7*Source!I33</f>
        <v>2.0435937499999999</v>
      </c>
      <c r="CY7">
        <f t="shared" ref="CY7:CY13" si="2">AB7</f>
        <v>1749.97</v>
      </c>
      <c r="CZ7">
        <f t="shared" ref="CZ7:CZ13" si="3">AF7</f>
        <v>162.4</v>
      </c>
      <c r="DA7">
        <f t="shared" ref="DA7:DA13" si="4">AJ7</f>
        <v>9.0399999999999991</v>
      </c>
      <c r="DB7">
        <f t="shared" si="0"/>
        <v>647.57000000000005</v>
      </c>
      <c r="DC7">
        <f t="shared" si="1"/>
        <v>114.04</v>
      </c>
    </row>
    <row r="8" spans="1:107" x14ac:dyDescent="0.2">
      <c r="A8">
        <f>ROW(Source!A33)</f>
        <v>33</v>
      </c>
      <c r="B8">
        <v>309315610</v>
      </c>
      <c r="C8">
        <v>309316196</v>
      </c>
      <c r="D8">
        <v>89511164</v>
      </c>
      <c r="E8">
        <v>1</v>
      </c>
      <c r="F8">
        <v>1</v>
      </c>
      <c r="G8">
        <v>89440001</v>
      </c>
      <c r="H8">
        <v>2</v>
      </c>
      <c r="I8" t="s">
        <v>315</v>
      </c>
      <c r="J8" t="s">
        <v>316</v>
      </c>
      <c r="K8" t="s">
        <v>317</v>
      </c>
      <c r="L8">
        <v>1367</v>
      </c>
      <c r="N8">
        <v>1011</v>
      </c>
      <c r="O8" t="s">
        <v>314</v>
      </c>
      <c r="P8" t="s">
        <v>314</v>
      </c>
      <c r="Q8">
        <v>1</v>
      </c>
      <c r="W8">
        <v>0</v>
      </c>
      <c r="X8">
        <v>695902881</v>
      </c>
      <c r="Y8">
        <v>0.997</v>
      </c>
      <c r="AA8">
        <v>0</v>
      </c>
      <c r="AB8">
        <v>1100.57</v>
      </c>
      <c r="AC8">
        <v>677.44</v>
      </c>
      <c r="AD8">
        <v>0</v>
      </c>
      <c r="AE8">
        <v>0</v>
      </c>
      <c r="AF8">
        <v>110.31</v>
      </c>
      <c r="AG8">
        <v>26.52</v>
      </c>
      <c r="AH8">
        <v>0</v>
      </c>
      <c r="AI8">
        <v>1</v>
      </c>
      <c r="AJ8">
        <v>8.3699999999999992</v>
      </c>
      <c r="AK8">
        <v>21.43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0.997</v>
      </c>
      <c r="AU8" t="s">
        <v>3</v>
      </c>
      <c r="AV8">
        <v>0</v>
      </c>
      <c r="AW8">
        <v>2</v>
      </c>
      <c r="AX8">
        <v>309316204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Y8*Source!I33</f>
        <v>0.51096249999999999</v>
      </c>
      <c r="CY8">
        <f t="shared" si="2"/>
        <v>1100.57</v>
      </c>
      <c r="CZ8">
        <f t="shared" si="3"/>
        <v>110.31</v>
      </c>
      <c r="DA8">
        <f t="shared" si="4"/>
        <v>8.3699999999999992</v>
      </c>
      <c r="DB8">
        <f t="shared" si="0"/>
        <v>109.98</v>
      </c>
      <c r="DC8">
        <f t="shared" si="1"/>
        <v>26.44</v>
      </c>
    </row>
    <row r="9" spans="1:107" x14ac:dyDescent="0.2">
      <c r="A9">
        <f>ROW(Source!A34)</f>
        <v>34</v>
      </c>
      <c r="B9">
        <v>309315610</v>
      </c>
      <c r="C9">
        <v>309316206</v>
      </c>
      <c r="D9">
        <v>89440730</v>
      </c>
      <c r="E9">
        <v>89440001</v>
      </c>
      <c r="F9">
        <v>1</v>
      </c>
      <c r="G9">
        <v>89440001</v>
      </c>
      <c r="H9">
        <v>2</v>
      </c>
      <c r="I9" t="s">
        <v>305</v>
      </c>
      <c r="J9" t="s">
        <v>3</v>
      </c>
      <c r="K9" t="s">
        <v>306</v>
      </c>
      <c r="L9">
        <v>1344</v>
      </c>
      <c r="N9">
        <v>1008</v>
      </c>
      <c r="O9" t="s">
        <v>307</v>
      </c>
      <c r="P9" t="s">
        <v>307</v>
      </c>
      <c r="Q9">
        <v>1</v>
      </c>
      <c r="W9">
        <v>0</v>
      </c>
      <c r="X9">
        <v>-1180195794</v>
      </c>
      <c r="Y9">
        <v>45.37</v>
      </c>
      <c r="AA9">
        <v>0</v>
      </c>
      <c r="AB9">
        <v>1</v>
      </c>
      <c r="AC9">
        <v>0</v>
      </c>
      <c r="AD9">
        <v>0</v>
      </c>
      <c r="AE9">
        <v>0</v>
      </c>
      <c r="AF9">
        <v>1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45.37</v>
      </c>
      <c r="AU9" t="s">
        <v>3</v>
      </c>
      <c r="AV9">
        <v>0</v>
      </c>
      <c r="AW9">
        <v>2</v>
      </c>
      <c r="AX9">
        <v>309488088</v>
      </c>
      <c r="AY9">
        <v>1</v>
      </c>
      <c r="AZ9">
        <v>6144</v>
      </c>
      <c r="BA9">
        <v>9</v>
      </c>
      <c r="BB9">
        <v>2</v>
      </c>
      <c r="BC9">
        <v>0</v>
      </c>
      <c r="BD9">
        <v>-28.410000000000004</v>
      </c>
      <c r="BE9">
        <v>0</v>
      </c>
      <c r="BF9">
        <v>0</v>
      </c>
      <c r="BG9">
        <v>0</v>
      </c>
      <c r="BH9">
        <v>0</v>
      </c>
      <c r="BI9">
        <v>1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Y9*Source!I34</f>
        <v>2325.2125000000001</v>
      </c>
      <c r="CY9">
        <f t="shared" si="2"/>
        <v>1</v>
      </c>
      <c r="CZ9">
        <f t="shared" si="3"/>
        <v>1</v>
      </c>
      <c r="DA9">
        <f t="shared" si="4"/>
        <v>1</v>
      </c>
      <c r="DB9">
        <f t="shared" si="0"/>
        <v>45.37</v>
      </c>
      <c r="DC9">
        <f t="shared" si="1"/>
        <v>0</v>
      </c>
    </row>
    <row r="10" spans="1:107" x14ac:dyDescent="0.2">
      <c r="A10">
        <f>ROW(Source!A35)</f>
        <v>35</v>
      </c>
      <c r="B10">
        <v>309315610</v>
      </c>
      <c r="C10">
        <v>309316209</v>
      </c>
      <c r="D10">
        <v>89440730</v>
      </c>
      <c r="E10">
        <v>89440001</v>
      </c>
      <c r="F10">
        <v>1</v>
      </c>
      <c r="G10">
        <v>89440001</v>
      </c>
      <c r="H10">
        <v>2</v>
      </c>
      <c r="I10" t="s">
        <v>305</v>
      </c>
      <c r="J10" t="s">
        <v>3</v>
      </c>
      <c r="K10" t="s">
        <v>306</v>
      </c>
      <c r="L10">
        <v>1344</v>
      </c>
      <c r="N10">
        <v>1008</v>
      </c>
      <c r="O10" t="s">
        <v>307</v>
      </c>
      <c r="P10" t="s">
        <v>307</v>
      </c>
      <c r="Q10">
        <v>1</v>
      </c>
      <c r="W10">
        <v>0</v>
      </c>
      <c r="X10">
        <v>-1180195794</v>
      </c>
      <c r="Y10">
        <v>43.28</v>
      </c>
      <c r="AA10">
        <v>0</v>
      </c>
      <c r="AB10">
        <v>1</v>
      </c>
      <c r="AC10">
        <v>0</v>
      </c>
      <c r="AD10">
        <v>0</v>
      </c>
      <c r="AE10">
        <v>0</v>
      </c>
      <c r="AF10">
        <v>1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43.28</v>
      </c>
      <c r="AU10" t="s">
        <v>3</v>
      </c>
      <c r="AV10">
        <v>0</v>
      </c>
      <c r="AW10">
        <v>2</v>
      </c>
      <c r="AX10">
        <v>309316212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Y10*Source!I35</f>
        <v>3992.58</v>
      </c>
      <c r="CY10">
        <f t="shared" si="2"/>
        <v>1</v>
      </c>
      <c r="CZ10">
        <f t="shared" si="3"/>
        <v>1</v>
      </c>
      <c r="DA10">
        <f t="shared" si="4"/>
        <v>1</v>
      </c>
      <c r="DB10">
        <f t="shared" si="0"/>
        <v>43.28</v>
      </c>
      <c r="DC10">
        <f t="shared" si="1"/>
        <v>0</v>
      </c>
    </row>
    <row r="11" spans="1:107" x14ac:dyDescent="0.2">
      <c r="A11">
        <f>ROW(Source!A36)</f>
        <v>36</v>
      </c>
      <c r="B11">
        <v>309315610</v>
      </c>
      <c r="C11">
        <v>309316214</v>
      </c>
      <c r="D11">
        <v>89440730</v>
      </c>
      <c r="E11">
        <v>89440001</v>
      </c>
      <c r="F11">
        <v>1</v>
      </c>
      <c r="G11">
        <v>89440001</v>
      </c>
      <c r="H11">
        <v>2</v>
      </c>
      <c r="I11" t="s">
        <v>305</v>
      </c>
      <c r="J11" t="s">
        <v>3</v>
      </c>
      <c r="K11" t="s">
        <v>306</v>
      </c>
      <c r="L11">
        <v>1344</v>
      </c>
      <c r="N11">
        <v>1008</v>
      </c>
      <c r="O11" t="s">
        <v>307</v>
      </c>
      <c r="P11" t="s">
        <v>307</v>
      </c>
      <c r="Q11">
        <v>1</v>
      </c>
      <c r="W11">
        <v>0</v>
      </c>
      <c r="X11">
        <v>-1180195794</v>
      </c>
      <c r="Y11">
        <v>27.91</v>
      </c>
      <c r="AA11">
        <v>0</v>
      </c>
      <c r="AB11">
        <v>1</v>
      </c>
      <c r="AC11">
        <v>0</v>
      </c>
      <c r="AD11">
        <v>0</v>
      </c>
      <c r="AE11">
        <v>0</v>
      </c>
      <c r="AF11">
        <v>1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27.91</v>
      </c>
      <c r="AU11" t="s">
        <v>3</v>
      </c>
      <c r="AV11">
        <v>0</v>
      </c>
      <c r="AW11">
        <v>2</v>
      </c>
      <c r="AX11">
        <v>309316216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Y11*Source!I36</f>
        <v>5.5820000000000002E-2</v>
      </c>
      <c r="CY11">
        <f t="shared" si="2"/>
        <v>1</v>
      </c>
      <c r="CZ11">
        <f t="shared" si="3"/>
        <v>1</v>
      </c>
      <c r="DA11">
        <f t="shared" si="4"/>
        <v>1</v>
      </c>
      <c r="DB11">
        <f t="shared" si="0"/>
        <v>27.91</v>
      </c>
      <c r="DC11">
        <f t="shared" si="1"/>
        <v>0</v>
      </c>
    </row>
    <row r="12" spans="1:107" x14ac:dyDescent="0.2">
      <c r="A12">
        <f>ROW(Source!A37)</f>
        <v>37</v>
      </c>
      <c r="B12">
        <v>309315610</v>
      </c>
      <c r="C12">
        <v>309316228</v>
      </c>
      <c r="D12">
        <v>89440730</v>
      </c>
      <c r="E12">
        <v>89440001</v>
      </c>
      <c r="F12">
        <v>1</v>
      </c>
      <c r="G12">
        <v>89440001</v>
      </c>
      <c r="H12">
        <v>2</v>
      </c>
      <c r="I12" t="s">
        <v>305</v>
      </c>
      <c r="J12" t="s">
        <v>3</v>
      </c>
      <c r="K12" t="s">
        <v>306</v>
      </c>
      <c r="L12">
        <v>1344</v>
      </c>
      <c r="N12">
        <v>1008</v>
      </c>
      <c r="O12" t="s">
        <v>307</v>
      </c>
      <c r="P12" t="s">
        <v>307</v>
      </c>
      <c r="Q12">
        <v>1</v>
      </c>
      <c r="W12">
        <v>0</v>
      </c>
      <c r="X12">
        <v>-1180195794</v>
      </c>
      <c r="Y12">
        <v>101</v>
      </c>
      <c r="AA12">
        <v>0</v>
      </c>
      <c r="AB12">
        <v>1</v>
      </c>
      <c r="AC12">
        <v>0</v>
      </c>
      <c r="AD12">
        <v>0</v>
      </c>
      <c r="AE12">
        <v>0</v>
      </c>
      <c r="AF12">
        <v>1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101</v>
      </c>
      <c r="AU12" t="s">
        <v>3</v>
      </c>
      <c r="AV12">
        <v>0</v>
      </c>
      <c r="AW12">
        <v>2</v>
      </c>
      <c r="AX12">
        <v>309316231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Y12*Source!I37</f>
        <v>0.20200000000000001</v>
      </c>
      <c r="CY12">
        <f t="shared" si="2"/>
        <v>1</v>
      </c>
      <c r="CZ12">
        <f t="shared" si="3"/>
        <v>1</v>
      </c>
      <c r="DA12">
        <f t="shared" si="4"/>
        <v>1</v>
      </c>
      <c r="DB12">
        <f t="shared" si="0"/>
        <v>101</v>
      </c>
      <c r="DC12">
        <f t="shared" si="1"/>
        <v>0</v>
      </c>
    </row>
    <row r="13" spans="1:107" x14ac:dyDescent="0.2">
      <c r="A13">
        <f>ROW(Source!A72)</f>
        <v>72</v>
      </c>
      <c r="B13">
        <v>309315610</v>
      </c>
      <c r="C13">
        <v>309316232</v>
      </c>
      <c r="D13">
        <v>89440730</v>
      </c>
      <c r="E13">
        <v>89440001</v>
      </c>
      <c r="F13">
        <v>1</v>
      </c>
      <c r="G13">
        <v>89440001</v>
      </c>
      <c r="H13">
        <v>2</v>
      </c>
      <c r="I13" t="s">
        <v>305</v>
      </c>
      <c r="J13" t="s">
        <v>3</v>
      </c>
      <c r="K13" t="s">
        <v>306</v>
      </c>
      <c r="L13">
        <v>1344</v>
      </c>
      <c r="N13">
        <v>1008</v>
      </c>
      <c r="O13" t="s">
        <v>307</v>
      </c>
      <c r="P13" t="s">
        <v>307</v>
      </c>
      <c r="Q13">
        <v>1</v>
      </c>
      <c r="W13">
        <v>0</v>
      </c>
      <c r="X13">
        <v>-1180195794</v>
      </c>
      <c r="Y13">
        <v>1599.0777599999999</v>
      </c>
      <c r="AA13">
        <v>0</v>
      </c>
      <c r="AB13">
        <v>1</v>
      </c>
      <c r="AC13">
        <v>0</v>
      </c>
      <c r="AD13">
        <v>0</v>
      </c>
      <c r="AE13">
        <v>0</v>
      </c>
      <c r="AF13">
        <v>1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1478</v>
      </c>
      <c r="AU13" t="s">
        <v>133</v>
      </c>
      <c r="AV13">
        <v>0</v>
      </c>
      <c r="AW13">
        <v>2</v>
      </c>
      <c r="AX13">
        <v>309316238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Y13*Source!I72</f>
        <v>32781.094079999995</v>
      </c>
      <c r="CY13">
        <f t="shared" si="2"/>
        <v>1</v>
      </c>
      <c r="CZ13">
        <f t="shared" si="3"/>
        <v>1</v>
      </c>
      <c r="DA13">
        <f t="shared" si="4"/>
        <v>1</v>
      </c>
      <c r="DB13">
        <f>ROUND((ROUND(AT13*CZ13,2)*1.15*0.98*0.96),6)</f>
        <v>1599.0777599999999</v>
      </c>
      <c r="DC13">
        <f>ROUND((ROUND(AT13*AG13,2)*1.15*0.98*0.96),6)</f>
        <v>0</v>
      </c>
    </row>
    <row r="14" spans="1:107" x14ac:dyDescent="0.2">
      <c r="A14">
        <f>ROW(Source!A72)</f>
        <v>72</v>
      </c>
      <c r="B14">
        <v>309315610</v>
      </c>
      <c r="C14">
        <v>309316232</v>
      </c>
      <c r="D14">
        <v>89487550</v>
      </c>
      <c r="E14">
        <v>1</v>
      </c>
      <c r="F14">
        <v>1</v>
      </c>
      <c r="G14">
        <v>89440001</v>
      </c>
      <c r="H14">
        <v>3</v>
      </c>
      <c r="I14" t="s">
        <v>136</v>
      </c>
      <c r="J14" t="s">
        <v>138</v>
      </c>
      <c r="K14" t="s">
        <v>137</v>
      </c>
      <c r="L14">
        <v>1339</v>
      </c>
      <c r="N14">
        <v>1007</v>
      </c>
      <c r="O14" t="s">
        <v>33</v>
      </c>
      <c r="P14" t="s">
        <v>33</v>
      </c>
      <c r="Q14">
        <v>1</v>
      </c>
      <c r="W14">
        <v>0</v>
      </c>
      <c r="X14">
        <v>870527440</v>
      </c>
      <c r="Y14">
        <v>-0.09</v>
      </c>
      <c r="AA14">
        <v>2233.33</v>
      </c>
      <c r="AB14">
        <v>0</v>
      </c>
      <c r="AC14">
        <v>0</v>
      </c>
      <c r="AD14">
        <v>0</v>
      </c>
      <c r="AE14">
        <v>413.58</v>
      </c>
      <c r="AF14">
        <v>0</v>
      </c>
      <c r="AG14">
        <v>0</v>
      </c>
      <c r="AH14">
        <v>0</v>
      </c>
      <c r="AI14">
        <v>5.4</v>
      </c>
      <c r="AJ14">
        <v>1</v>
      </c>
      <c r="AK14">
        <v>1</v>
      </c>
      <c r="AL14">
        <v>1</v>
      </c>
      <c r="AN14">
        <v>0</v>
      </c>
      <c r="AO14">
        <v>0</v>
      </c>
      <c r="AP14">
        <v>1</v>
      </c>
      <c r="AQ14">
        <v>0</v>
      </c>
      <c r="AR14">
        <v>0</v>
      </c>
      <c r="AS14" t="s">
        <v>3</v>
      </c>
      <c r="AT14">
        <v>-0.09</v>
      </c>
      <c r="AU14" t="s">
        <v>3</v>
      </c>
      <c r="AV14">
        <v>0</v>
      </c>
      <c r="AW14">
        <v>1</v>
      </c>
      <c r="AX14">
        <v>-1</v>
      </c>
      <c r="AY14">
        <v>0</v>
      </c>
      <c r="AZ14">
        <v>0</v>
      </c>
      <c r="BA14" t="s">
        <v>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Y14*Source!I72</f>
        <v>-1.845</v>
      </c>
      <c r="CY14">
        <f>AA14</f>
        <v>2233.33</v>
      </c>
      <c r="CZ14">
        <f>AE14</f>
        <v>413.58</v>
      </c>
      <c r="DA14">
        <f>AI14</f>
        <v>5.4</v>
      </c>
      <c r="DB14">
        <f>ROUND(ROUND(AT14*CZ14,2),6)</f>
        <v>-37.22</v>
      </c>
      <c r="DC14">
        <f>ROUND(ROUND(AT14*AG14,2),6)</f>
        <v>0</v>
      </c>
    </row>
    <row r="15" spans="1:107" x14ac:dyDescent="0.2">
      <c r="A15">
        <f>ROW(Source!A72)</f>
        <v>72</v>
      </c>
      <c r="B15">
        <v>309315610</v>
      </c>
      <c r="C15">
        <v>309316232</v>
      </c>
      <c r="D15">
        <v>89491435</v>
      </c>
      <c r="E15">
        <v>1</v>
      </c>
      <c r="F15">
        <v>1</v>
      </c>
      <c r="G15">
        <v>89440001</v>
      </c>
      <c r="H15">
        <v>3</v>
      </c>
      <c r="I15" t="s">
        <v>140</v>
      </c>
      <c r="J15" t="s">
        <v>143</v>
      </c>
      <c r="K15" t="s">
        <v>141</v>
      </c>
      <c r="L15">
        <v>1301</v>
      </c>
      <c r="N15">
        <v>1003</v>
      </c>
      <c r="O15" t="s">
        <v>142</v>
      </c>
      <c r="P15" t="s">
        <v>142</v>
      </c>
      <c r="Q15">
        <v>1</v>
      </c>
      <c r="W15">
        <v>0</v>
      </c>
      <c r="X15">
        <v>-395848469</v>
      </c>
      <c r="Y15">
        <v>2</v>
      </c>
      <c r="AA15">
        <v>1434.9</v>
      </c>
      <c r="AB15">
        <v>0</v>
      </c>
      <c r="AC15">
        <v>0</v>
      </c>
      <c r="AD15">
        <v>0</v>
      </c>
      <c r="AE15">
        <v>481.51</v>
      </c>
      <c r="AF15">
        <v>0</v>
      </c>
      <c r="AG15">
        <v>0</v>
      </c>
      <c r="AH15">
        <v>0</v>
      </c>
      <c r="AI15">
        <v>2.98</v>
      </c>
      <c r="AJ15">
        <v>1</v>
      </c>
      <c r="AK15">
        <v>1</v>
      </c>
      <c r="AL15">
        <v>1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3</v>
      </c>
      <c r="AT15">
        <v>2</v>
      </c>
      <c r="AU15" t="s">
        <v>3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Y15*Source!I72</f>
        <v>41</v>
      </c>
      <c r="CY15">
        <f>AA15</f>
        <v>1434.9</v>
      </c>
      <c r="CZ15">
        <f>AE15</f>
        <v>481.51</v>
      </c>
      <c r="DA15">
        <f>AI15</f>
        <v>2.98</v>
      </c>
      <c r="DB15">
        <f>ROUND(ROUND(AT15*CZ15,2),6)</f>
        <v>963.02</v>
      </c>
      <c r="DC15">
        <f>ROUND(ROUND(AT15*AG15,2),6)</f>
        <v>0</v>
      </c>
    </row>
    <row r="16" spans="1:107" x14ac:dyDescent="0.2">
      <c r="A16">
        <f>ROW(Source!A72)</f>
        <v>72</v>
      </c>
      <c r="B16">
        <v>309315610</v>
      </c>
      <c r="C16">
        <v>309316232</v>
      </c>
      <c r="D16">
        <v>89461287</v>
      </c>
      <c r="E16">
        <v>89440001</v>
      </c>
      <c r="F16">
        <v>1</v>
      </c>
      <c r="G16">
        <v>89440001</v>
      </c>
      <c r="H16">
        <v>3</v>
      </c>
      <c r="I16" t="s">
        <v>27</v>
      </c>
      <c r="J16" t="s">
        <v>3</v>
      </c>
      <c r="K16" t="s">
        <v>28</v>
      </c>
      <c r="L16">
        <v>1348</v>
      </c>
      <c r="N16">
        <v>1009</v>
      </c>
      <c r="O16" t="s">
        <v>29</v>
      </c>
      <c r="P16" t="s">
        <v>29</v>
      </c>
      <c r="Q16">
        <v>1000</v>
      </c>
      <c r="W16">
        <v>0</v>
      </c>
      <c r="X16">
        <v>1489638031</v>
      </c>
      <c r="Y16">
        <v>3.9494246400000002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0</v>
      </c>
      <c r="AP16">
        <v>1</v>
      </c>
      <c r="AQ16">
        <v>0</v>
      </c>
      <c r="AR16">
        <v>0</v>
      </c>
      <c r="AS16" t="s">
        <v>3</v>
      </c>
      <c r="AT16">
        <v>4.2854000000000001</v>
      </c>
      <c r="AU16" t="s">
        <v>132</v>
      </c>
      <c r="AV16">
        <v>0</v>
      </c>
      <c r="AW16">
        <v>2</v>
      </c>
      <c r="AX16">
        <v>309316239</v>
      </c>
      <c r="AY16">
        <v>1</v>
      </c>
      <c r="AZ16">
        <v>0</v>
      </c>
      <c r="BA16">
        <v>14</v>
      </c>
      <c r="BB16">
        <v>3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Y16*Source!I72</f>
        <v>80.963205119999998</v>
      </c>
      <c r="CY16">
        <f>AA16</f>
        <v>0</v>
      </c>
      <c r="CZ16">
        <f>AE16</f>
        <v>0</v>
      </c>
      <c r="DA16">
        <f>AI16</f>
        <v>1</v>
      </c>
      <c r="DB16">
        <f>ROUND((ROUND(AT16*CZ16,2)*0.96*0.96),6)</f>
        <v>0</v>
      </c>
      <c r="DC16">
        <f>ROUND((ROUND(AT16*AG16,2)*0.96*0.96),6)</f>
        <v>0</v>
      </c>
    </row>
    <row r="17" spans="1:107" x14ac:dyDescent="0.2">
      <c r="A17">
        <f>ROW(Source!A72)</f>
        <v>72</v>
      </c>
      <c r="B17">
        <v>309315610</v>
      </c>
      <c r="C17">
        <v>309316232</v>
      </c>
      <c r="D17">
        <v>89461289</v>
      </c>
      <c r="E17">
        <v>89440001</v>
      </c>
      <c r="F17">
        <v>1</v>
      </c>
      <c r="G17">
        <v>89440001</v>
      </c>
      <c r="H17">
        <v>3</v>
      </c>
      <c r="I17" t="s">
        <v>31</v>
      </c>
      <c r="J17" t="s">
        <v>3</v>
      </c>
      <c r="K17" t="s">
        <v>32</v>
      </c>
      <c r="L17">
        <v>1339</v>
      </c>
      <c r="N17">
        <v>1007</v>
      </c>
      <c r="O17" t="s">
        <v>33</v>
      </c>
      <c r="P17" t="s">
        <v>33</v>
      </c>
      <c r="Q17">
        <v>1</v>
      </c>
      <c r="W17">
        <v>0</v>
      </c>
      <c r="X17">
        <v>179728826</v>
      </c>
      <c r="Y17">
        <v>10.743091199999999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0</v>
      </c>
      <c r="AP17">
        <v>1</v>
      </c>
      <c r="AQ17">
        <v>0</v>
      </c>
      <c r="AR17">
        <v>0</v>
      </c>
      <c r="AS17" t="s">
        <v>3</v>
      </c>
      <c r="AT17">
        <v>11.657</v>
      </c>
      <c r="AU17" t="s">
        <v>132</v>
      </c>
      <c r="AV17">
        <v>0</v>
      </c>
      <c r="AW17">
        <v>2</v>
      </c>
      <c r="AX17">
        <v>309316240</v>
      </c>
      <c r="AY17">
        <v>1</v>
      </c>
      <c r="AZ17">
        <v>0</v>
      </c>
      <c r="BA17">
        <v>15</v>
      </c>
      <c r="BB17">
        <v>3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Y17*Source!I72</f>
        <v>220.23336959999997</v>
      </c>
      <c r="CY17">
        <f>AA17</f>
        <v>0</v>
      </c>
      <c r="CZ17">
        <f>AE17</f>
        <v>0</v>
      </c>
      <c r="DA17">
        <f>AI17</f>
        <v>1</v>
      </c>
      <c r="DB17">
        <f>ROUND((ROUND(AT17*CZ17,2)*0.96*0.96),6)</f>
        <v>0</v>
      </c>
      <c r="DC17">
        <f>ROUND((ROUND(AT17*AG17,2)*0.96*0.96),6)</f>
        <v>0</v>
      </c>
    </row>
    <row r="18" spans="1:107" x14ac:dyDescent="0.2">
      <c r="A18">
        <f>ROW(Source!A77)</f>
        <v>77</v>
      </c>
      <c r="B18">
        <v>309315610</v>
      </c>
      <c r="C18">
        <v>309316268</v>
      </c>
      <c r="D18">
        <v>89440006</v>
      </c>
      <c r="E18">
        <v>89440001</v>
      </c>
      <c r="F18">
        <v>1</v>
      </c>
      <c r="G18">
        <v>89440001</v>
      </c>
      <c r="H18">
        <v>1</v>
      </c>
      <c r="I18" t="s">
        <v>308</v>
      </c>
      <c r="J18" t="s">
        <v>3</v>
      </c>
      <c r="K18" t="s">
        <v>309</v>
      </c>
      <c r="L18">
        <v>1191</v>
      </c>
      <c r="N18">
        <v>1013</v>
      </c>
      <c r="O18" t="s">
        <v>310</v>
      </c>
      <c r="P18" t="s">
        <v>310</v>
      </c>
      <c r="Q18">
        <v>1</v>
      </c>
      <c r="W18">
        <v>0</v>
      </c>
      <c r="X18">
        <v>476480486</v>
      </c>
      <c r="Y18">
        <v>18.63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16.2</v>
      </c>
      <c r="AU18" t="s">
        <v>39</v>
      </c>
      <c r="AV18">
        <v>1</v>
      </c>
      <c r="AW18">
        <v>2</v>
      </c>
      <c r="AX18">
        <v>309565616</v>
      </c>
      <c r="AY18">
        <v>1</v>
      </c>
      <c r="AZ18">
        <v>0</v>
      </c>
      <c r="BA18">
        <v>16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Y18*Source!I77</f>
        <v>111.78</v>
      </c>
      <c r="CY18">
        <f>AD18</f>
        <v>0</v>
      </c>
      <c r="CZ18">
        <f>AH18</f>
        <v>0</v>
      </c>
      <c r="DA18">
        <f>AL18</f>
        <v>1</v>
      </c>
      <c r="DB18">
        <f t="shared" ref="DB18:DB24" si="5">ROUND((ROUND(AT18*CZ18,2)*1.15),6)</f>
        <v>0</v>
      </c>
      <c r="DC18">
        <f t="shared" ref="DC18:DC24" si="6">ROUND((ROUND(AT18*AG18,2)*1.15),6)</f>
        <v>0</v>
      </c>
    </row>
    <row r="19" spans="1:107" x14ac:dyDescent="0.2">
      <c r="A19">
        <f>ROW(Source!A77)</f>
        <v>77</v>
      </c>
      <c r="B19">
        <v>309315610</v>
      </c>
      <c r="C19">
        <v>309316268</v>
      </c>
      <c r="D19">
        <v>89511612</v>
      </c>
      <c r="E19">
        <v>1</v>
      </c>
      <c r="F19">
        <v>1</v>
      </c>
      <c r="G19">
        <v>89440001</v>
      </c>
      <c r="H19">
        <v>2</v>
      </c>
      <c r="I19" t="s">
        <v>318</v>
      </c>
      <c r="J19" t="s">
        <v>319</v>
      </c>
      <c r="K19" t="s">
        <v>320</v>
      </c>
      <c r="L19">
        <v>1367</v>
      </c>
      <c r="N19">
        <v>1011</v>
      </c>
      <c r="O19" t="s">
        <v>314</v>
      </c>
      <c r="P19" t="s">
        <v>314</v>
      </c>
      <c r="Q19">
        <v>1</v>
      </c>
      <c r="W19">
        <v>0</v>
      </c>
      <c r="X19">
        <v>1081242899</v>
      </c>
      <c r="Y19">
        <v>0.32200000000000001</v>
      </c>
      <c r="AA19">
        <v>0</v>
      </c>
      <c r="AB19">
        <v>15.33</v>
      </c>
      <c r="AC19">
        <v>0.91</v>
      </c>
      <c r="AD19">
        <v>0</v>
      </c>
      <c r="AE19">
        <v>0</v>
      </c>
      <c r="AF19">
        <v>4.71</v>
      </c>
      <c r="AG19">
        <v>0.04</v>
      </c>
      <c r="AH19">
        <v>0</v>
      </c>
      <c r="AI19">
        <v>1</v>
      </c>
      <c r="AJ19">
        <v>3.05</v>
      </c>
      <c r="AK19">
        <v>21.43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0.28000000000000003</v>
      </c>
      <c r="AU19" t="s">
        <v>39</v>
      </c>
      <c r="AV19">
        <v>0</v>
      </c>
      <c r="AW19">
        <v>2</v>
      </c>
      <c r="AX19">
        <v>309565617</v>
      </c>
      <c r="AY19">
        <v>1</v>
      </c>
      <c r="AZ19">
        <v>0</v>
      </c>
      <c r="BA19">
        <v>17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Y19*Source!I77</f>
        <v>1.9319999999999999</v>
      </c>
      <c r="CY19">
        <f t="shared" ref="CY19:CY24" si="7">AB19</f>
        <v>15.33</v>
      </c>
      <c r="CZ19">
        <f t="shared" ref="CZ19:CZ24" si="8">AF19</f>
        <v>4.71</v>
      </c>
      <c r="DA19">
        <f t="shared" ref="DA19:DA24" si="9">AJ19</f>
        <v>3.05</v>
      </c>
      <c r="DB19">
        <f t="shared" si="5"/>
        <v>1.518</v>
      </c>
      <c r="DC19">
        <f t="shared" si="6"/>
        <v>1.15E-2</v>
      </c>
    </row>
    <row r="20" spans="1:107" x14ac:dyDescent="0.2">
      <c r="A20">
        <f>ROW(Source!A77)</f>
        <v>77</v>
      </c>
      <c r="B20">
        <v>309315610</v>
      </c>
      <c r="C20">
        <v>309316268</v>
      </c>
      <c r="D20">
        <v>89511702</v>
      </c>
      <c r="E20">
        <v>1</v>
      </c>
      <c r="F20">
        <v>1</v>
      </c>
      <c r="G20">
        <v>89440001</v>
      </c>
      <c r="H20">
        <v>2</v>
      </c>
      <c r="I20" t="s">
        <v>321</v>
      </c>
      <c r="J20" t="s">
        <v>322</v>
      </c>
      <c r="K20" t="s">
        <v>323</v>
      </c>
      <c r="L20">
        <v>1367</v>
      </c>
      <c r="N20">
        <v>1011</v>
      </c>
      <c r="O20" t="s">
        <v>314</v>
      </c>
      <c r="P20" t="s">
        <v>314</v>
      </c>
      <c r="Q20">
        <v>1</v>
      </c>
      <c r="W20">
        <v>0</v>
      </c>
      <c r="X20">
        <v>-869219575</v>
      </c>
      <c r="Y20">
        <v>0.89699999999999991</v>
      </c>
      <c r="AA20">
        <v>0</v>
      </c>
      <c r="AB20">
        <v>309.8</v>
      </c>
      <c r="AC20">
        <v>61.28</v>
      </c>
      <c r="AD20">
        <v>0</v>
      </c>
      <c r="AE20">
        <v>0</v>
      </c>
      <c r="AF20">
        <v>43.4</v>
      </c>
      <c r="AG20">
        <v>2.68</v>
      </c>
      <c r="AH20">
        <v>0</v>
      </c>
      <c r="AI20">
        <v>1</v>
      </c>
      <c r="AJ20">
        <v>6.69</v>
      </c>
      <c r="AK20">
        <v>21.43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0.78</v>
      </c>
      <c r="AU20" t="s">
        <v>39</v>
      </c>
      <c r="AV20">
        <v>0</v>
      </c>
      <c r="AW20">
        <v>2</v>
      </c>
      <c r="AX20">
        <v>309565618</v>
      </c>
      <c r="AY20">
        <v>1</v>
      </c>
      <c r="AZ20">
        <v>0</v>
      </c>
      <c r="BA20">
        <v>18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Y20*Source!I77</f>
        <v>5.3819999999999997</v>
      </c>
      <c r="CY20">
        <f t="shared" si="7"/>
        <v>309.8</v>
      </c>
      <c r="CZ20">
        <f t="shared" si="8"/>
        <v>43.4</v>
      </c>
      <c r="DA20">
        <f t="shared" si="9"/>
        <v>6.69</v>
      </c>
      <c r="DB20">
        <f t="shared" si="5"/>
        <v>38.927500000000002</v>
      </c>
      <c r="DC20">
        <f t="shared" si="6"/>
        <v>2.4035000000000002</v>
      </c>
    </row>
    <row r="21" spans="1:107" x14ac:dyDescent="0.2">
      <c r="A21">
        <f>ROW(Source!A77)</f>
        <v>77</v>
      </c>
      <c r="B21">
        <v>309315610</v>
      </c>
      <c r="C21">
        <v>309316268</v>
      </c>
      <c r="D21">
        <v>89511879</v>
      </c>
      <c r="E21">
        <v>1</v>
      </c>
      <c r="F21">
        <v>1</v>
      </c>
      <c r="G21">
        <v>89440001</v>
      </c>
      <c r="H21">
        <v>2</v>
      </c>
      <c r="I21" t="s">
        <v>324</v>
      </c>
      <c r="J21" t="s">
        <v>325</v>
      </c>
      <c r="K21" t="s">
        <v>326</v>
      </c>
      <c r="L21">
        <v>1367</v>
      </c>
      <c r="N21">
        <v>1011</v>
      </c>
      <c r="O21" t="s">
        <v>314</v>
      </c>
      <c r="P21" t="s">
        <v>314</v>
      </c>
      <c r="Q21">
        <v>1</v>
      </c>
      <c r="W21">
        <v>0</v>
      </c>
      <c r="X21">
        <v>-326460481</v>
      </c>
      <c r="Y21">
        <v>0.32200000000000001</v>
      </c>
      <c r="AA21">
        <v>0</v>
      </c>
      <c r="AB21">
        <v>13.93</v>
      </c>
      <c r="AC21">
        <v>4.12</v>
      </c>
      <c r="AD21">
        <v>0</v>
      </c>
      <c r="AE21">
        <v>0</v>
      </c>
      <c r="AF21">
        <v>3.71</v>
      </c>
      <c r="AG21">
        <v>0.18</v>
      </c>
      <c r="AH21">
        <v>0</v>
      </c>
      <c r="AI21">
        <v>1</v>
      </c>
      <c r="AJ21">
        <v>3.52</v>
      </c>
      <c r="AK21">
        <v>21.43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0.28000000000000003</v>
      </c>
      <c r="AU21" t="s">
        <v>39</v>
      </c>
      <c r="AV21">
        <v>0</v>
      </c>
      <c r="AW21">
        <v>2</v>
      </c>
      <c r="AX21">
        <v>309565619</v>
      </c>
      <c r="AY21">
        <v>1</v>
      </c>
      <c r="AZ21">
        <v>0</v>
      </c>
      <c r="BA21">
        <v>19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Y21*Source!I77</f>
        <v>1.9319999999999999</v>
      </c>
      <c r="CY21">
        <f t="shared" si="7"/>
        <v>13.93</v>
      </c>
      <c r="CZ21">
        <f t="shared" si="8"/>
        <v>3.71</v>
      </c>
      <c r="DA21">
        <f t="shared" si="9"/>
        <v>3.52</v>
      </c>
      <c r="DB21">
        <f t="shared" si="5"/>
        <v>1.196</v>
      </c>
      <c r="DC21">
        <f t="shared" si="6"/>
        <v>5.7500000000000002E-2</v>
      </c>
    </row>
    <row r="22" spans="1:107" x14ac:dyDescent="0.2">
      <c r="A22">
        <f>ROW(Source!A77)</f>
        <v>77</v>
      </c>
      <c r="B22">
        <v>309315610</v>
      </c>
      <c r="C22">
        <v>309316268</v>
      </c>
      <c r="D22">
        <v>89511984</v>
      </c>
      <c r="E22">
        <v>1</v>
      </c>
      <c r="F22">
        <v>1</v>
      </c>
      <c r="G22">
        <v>89440001</v>
      </c>
      <c r="H22">
        <v>2</v>
      </c>
      <c r="I22" t="s">
        <v>327</v>
      </c>
      <c r="J22" t="s">
        <v>328</v>
      </c>
      <c r="K22" t="s">
        <v>329</v>
      </c>
      <c r="L22">
        <v>1367</v>
      </c>
      <c r="N22">
        <v>1011</v>
      </c>
      <c r="O22" t="s">
        <v>314</v>
      </c>
      <c r="P22" t="s">
        <v>314</v>
      </c>
      <c r="Q22">
        <v>1</v>
      </c>
      <c r="W22">
        <v>0</v>
      </c>
      <c r="X22">
        <v>-628430174</v>
      </c>
      <c r="Y22">
        <v>0.57499999999999996</v>
      </c>
      <c r="AA22">
        <v>0</v>
      </c>
      <c r="AB22">
        <v>693.35</v>
      </c>
      <c r="AC22">
        <v>328.35</v>
      </c>
      <c r="AD22">
        <v>0</v>
      </c>
      <c r="AE22">
        <v>0</v>
      </c>
      <c r="AF22">
        <v>76.81</v>
      </c>
      <c r="AG22">
        <v>14.36</v>
      </c>
      <c r="AH22">
        <v>0</v>
      </c>
      <c r="AI22">
        <v>1</v>
      </c>
      <c r="AJ22">
        <v>8.4600000000000009</v>
      </c>
      <c r="AK22">
        <v>21.43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0.5</v>
      </c>
      <c r="AU22" t="s">
        <v>39</v>
      </c>
      <c r="AV22">
        <v>0</v>
      </c>
      <c r="AW22">
        <v>2</v>
      </c>
      <c r="AX22">
        <v>309565620</v>
      </c>
      <c r="AY22">
        <v>1</v>
      </c>
      <c r="AZ22">
        <v>0</v>
      </c>
      <c r="BA22">
        <v>20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Y22*Source!I77</f>
        <v>3.4499999999999997</v>
      </c>
      <c r="CY22">
        <f t="shared" si="7"/>
        <v>693.35</v>
      </c>
      <c r="CZ22">
        <f t="shared" si="8"/>
        <v>76.81</v>
      </c>
      <c r="DA22">
        <f t="shared" si="9"/>
        <v>8.4600000000000009</v>
      </c>
      <c r="DB22">
        <f t="shared" si="5"/>
        <v>44.171500000000002</v>
      </c>
      <c r="DC22">
        <f t="shared" si="6"/>
        <v>8.2569999999999997</v>
      </c>
    </row>
    <row r="23" spans="1:107" x14ac:dyDescent="0.2">
      <c r="A23">
        <f>ROW(Source!A77)</f>
        <v>77</v>
      </c>
      <c r="B23">
        <v>309315610</v>
      </c>
      <c r="C23">
        <v>309316268</v>
      </c>
      <c r="D23">
        <v>89512018</v>
      </c>
      <c r="E23">
        <v>1</v>
      </c>
      <c r="F23">
        <v>1</v>
      </c>
      <c r="G23">
        <v>89440001</v>
      </c>
      <c r="H23">
        <v>2</v>
      </c>
      <c r="I23" t="s">
        <v>330</v>
      </c>
      <c r="J23" t="s">
        <v>331</v>
      </c>
      <c r="K23" t="s">
        <v>332</v>
      </c>
      <c r="L23">
        <v>1367</v>
      </c>
      <c r="N23">
        <v>1011</v>
      </c>
      <c r="O23" t="s">
        <v>314</v>
      </c>
      <c r="P23" t="s">
        <v>314</v>
      </c>
      <c r="Q23">
        <v>1</v>
      </c>
      <c r="W23">
        <v>0</v>
      </c>
      <c r="X23">
        <v>950854334</v>
      </c>
      <c r="Y23">
        <v>0.5635</v>
      </c>
      <c r="AA23">
        <v>0</v>
      </c>
      <c r="AB23">
        <v>29.44</v>
      </c>
      <c r="AC23">
        <v>2.29</v>
      </c>
      <c r="AD23">
        <v>0</v>
      </c>
      <c r="AE23">
        <v>0</v>
      </c>
      <c r="AF23">
        <v>2.36</v>
      </c>
      <c r="AG23">
        <v>0.1</v>
      </c>
      <c r="AH23">
        <v>0</v>
      </c>
      <c r="AI23">
        <v>1</v>
      </c>
      <c r="AJ23">
        <v>11.69</v>
      </c>
      <c r="AK23">
        <v>21.43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0.49</v>
      </c>
      <c r="AU23" t="s">
        <v>39</v>
      </c>
      <c r="AV23">
        <v>0</v>
      </c>
      <c r="AW23">
        <v>2</v>
      </c>
      <c r="AX23">
        <v>309565621</v>
      </c>
      <c r="AY23">
        <v>1</v>
      </c>
      <c r="AZ23">
        <v>0</v>
      </c>
      <c r="BA23">
        <v>21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Y23*Source!I77</f>
        <v>3.3810000000000002</v>
      </c>
      <c r="CY23">
        <f t="shared" si="7"/>
        <v>29.44</v>
      </c>
      <c r="CZ23">
        <f t="shared" si="8"/>
        <v>2.36</v>
      </c>
      <c r="DA23">
        <f t="shared" si="9"/>
        <v>11.69</v>
      </c>
      <c r="DB23">
        <f t="shared" si="5"/>
        <v>1.3340000000000001</v>
      </c>
      <c r="DC23">
        <f t="shared" si="6"/>
        <v>5.7500000000000002E-2</v>
      </c>
    </row>
    <row r="24" spans="1:107" x14ac:dyDescent="0.2">
      <c r="A24">
        <f>ROW(Source!A77)</f>
        <v>77</v>
      </c>
      <c r="B24">
        <v>309315610</v>
      </c>
      <c r="C24">
        <v>309316268</v>
      </c>
      <c r="D24">
        <v>89440730</v>
      </c>
      <c r="E24">
        <v>89440001</v>
      </c>
      <c r="F24">
        <v>1</v>
      </c>
      <c r="G24">
        <v>89440001</v>
      </c>
      <c r="H24">
        <v>2</v>
      </c>
      <c r="I24" t="s">
        <v>305</v>
      </c>
      <c r="J24" t="s">
        <v>3</v>
      </c>
      <c r="K24" t="s">
        <v>306</v>
      </c>
      <c r="L24">
        <v>1344</v>
      </c>
      <c r="N24">
        <v>1008</v>
      </c>
      <c r="O24" t="s">
        <v>307</v>
      </c>
      <c r="P24" t="s">
        <v>307</v>
      </c>
      <c r="Q24">
        <v>1</v>
      </c>
      <c r="W24">
        <v>0</v>
      </c>
      <c r="X24">
        <v>-1180195794</v>
      </c>
      <c r="Y24">
        <v>1.15E-2</v>
      </c>
      <c r="AA24">
        <v>0</v>
      </c>
      <c r="AB24">
        <v>1.07</v>
      </c>
      <c r="AC24">
        <v>0</v>
      </c>
      <c r="AD24">
        <v>0</v>
      </c>
      <c r="AE24">
        <v>0</v>
      </c>
      <c r="AF24">
        <v>1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0.01</v>
      </c>
      <c r="AU24" t="s">
        <v>39</v>
      </c>
      <c r="AV24">
        <v>0</v>
      </c>
      <c r="AW24">
        <v>2</v>
      </c>
      <c r="AX24">
        <v>309565622</v>
      </c>
      <c r="AY24">
        <v>1</v>
      </c>
      <c r="AZ24">
        <v>0</v>
      </c>
      <c r="BA24">
        <v>22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Y24*Source!I77</f>
        <v>6.9000000000000006E-2</v>
      </c>
      <c r="CY24">
        <f t="shared" si="7"/>
        <v>1.07</v>
      </c>
      <c r="CZ24">
        <f t="shared" si="8"/>
        <v>1</v>
      </c>
      <c r="DA24">
        <f t="shared" si="9"/>
        <v>1</v>
      </c>
      <c r="DB24">
        <f t="shared" si="5"/>
        <v>1.15E-2</v>
      </c>
      <c r="DC24">
        <f t="shared" si="6"/>
        <v>0</v>
      </c>
    </row>
    <row r="25" spans="1:107" x14ac:dyDescent="0.2">
      <c r="A25">
        <f>ROW(Source!A77)</f>
        <v>77</v>
      </c>
      <c r="B25">
        <v>309315610</v>
      </c>
      <c r="C25">
        <v>309316268</v>
      </c>
      <c r="D25">
        <v>89488304</v>
      </c>
      <c r="E25">
        <v>1</v>
      </c>
      <c r="F25">
        <v>1</v>
      </c>
      <c r="G25">
        <v>89440001</v>
      </c>
      <c r="H25">
        <v>3</v>
      </c>
      <c r="I25" t="s">
        <v>333</v>
      </c>
      <c r="J25" t="s">
        <v>334</v>
      </c>
      <c r="K25" t="s">
        <v>335</v>
      </c>
      <c r="L25">
        <v>1327</v>
      </c>
      <c r="N25">
        <v>1005</v>
      </c>
      <c r="O25" t="s">
        <v>336</v>
      </c>
      <c r="P25" t="s">
        <v>336</v>
      </c>
      <c r="Q25">
        <v>1</v>
      </c>
      <c r="W25">
        <v>0</v>
      </c>
      <c r="X25">
        <v>-216611581</v>
      </c>
      <c r="Y25">
        <v>0.2</v>
      </c>
      <c r="AA25">
        <v>162.72999999999999</v>
      </c>
      <c r="AB25">
        <v>0</v>
      </c>
      <c r="AC25">
        <v>0</v>
      </c>
      <c r="AD25">
        <v>0</v>
      </c>
      <c r="AE25">
        <v>104</v>
      </c>
      <c r="AF25">
        <v>0</v>
      </c>
      <c r="AG25">
        <v>0</v>
      </c>
      <c r="AH25">
        <v>0</v>
      </c>
      <c r="AI25">
        <v>1.56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0.2</v>
      </c>
      <c r="AU25" t="s">
        <v>3</v>
      </c>
      <c r="AV25">
        <v>0</v>
      </c>
      <c r="AW25">
        <v>2</v>
      </c>
      <c r="AX25">
        <v>309565623</v>
      </c>
      <c r="AY25">
        <v>1</v>
      </c>
      <c r="AZ25">
        <v>0</v>
      </c>
      <c r="BA25">
        <v>23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Y25*Source!I77</f>
        <v>1.2000000000000002</v>
      </c>
      <c r="CY25">
        <f>AA25</f>
        <v>162.72999999999999</v>
      </c>
      <c r="CZ25">
        <f>AE25</f>
        <v>104</v>
      </c>
      <c r="DA25">
        <f>AI25</f>
        <v>1.56</v>
      </c>
      <c r="DB25">
        <f t="shared" ref="DB25:DB35" si="10">ROUND(ROUND(AT25*CZ25,2),6)</f>
        <v>20.8</v>
      </c>
      <c r="DC25">
        <f t="shared" ref="DC25:DC35" si="11">ROUND(ROUND(AT25*AG25,2),6)</f>
        <v>0</v>
      </c>
    </row>
    <row r="26" spans="1:107" x14ac:dyDescent="0.2">
      <c r="A26">
        <f>ROW(Source!A77)</f>
        <v>77</v>
      </c>
      <c r="B26">
        <v>309315610</v>
      </c>
      <c r="C26">
        <v>309316268</v>
      </c>
      <c r="D26">
        <v>89487011</v>
      </c>
      <c r="E26">
        <v>1</v>
      </c>
      <c r="F26">
        <v>1</v>
      </c>
      <c r="G26">
        <v>89440001</v>
      </c>
      <c r="H26">
        <v>3</v>
      </c>
      <c r="I26" t="s">
        <v>337</v>
      </c>
      <c r="J26" t="s">
        <v>338</v>
      </c>
      <c r="K26" t="s">
        <v>339</v>
      </c>
      <c r="L26">
        <v>1348</v>
      </c>
      <c r="N26">
        <v>1009</v>
      </c>
      <c r="O26" t="s">
        <v>29</v>
      </c>
      <c r="P26" t="s">
        <v>29</v>
      </c>
      <c r="Q26">
        <v>1000</v>
      </c>
      <c r="W26">
        <v>0</v>
      </c>
      <c r="X26">
        <v>-1816733109</v>
      </c>
      <c r="Y26">
        <v>3.6999999999999999E-4</v>
      </c>
      <c r="AA26">
        <v>55425.24</v>
      </c>
      <c r="AB26">
        <v>0</v>
      </c>
      <c r="AC26">
        <v>0</v>
      </c>
      <c r="AD26">
        <v>0</v>
      </c>
      <c r="AE26">
        <v>9560.4599999999991</v>
      </c>
      <c r="AF26">
        <v>0</v>
      </c>
      <c r="AG26">
        <v>0</v>
      </c>
      <c r="AH26">
        <v>0</v>
      </c>
      <c r="AI26">
        <v>5.78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3.6999999999999999E-4</v>
      </c>
      <c r="AU26" t="s">
        <v>3</v>
      </c>
      <c r="AV26">
        <v>0</v>
      </c>
      <c r="AW26">
        <v>2</v>
      </c>
      <c r="AX26">
        <v>309565624</v>
      </c>
      <c r="AY26">
        <v>1</v>
      </c>
      <c r="AZ26">
        <v>0</v>
      </c>
      <c r="BA26">
        <v>24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Y26*Source!I77</f>
        <v>2.2199999999999998E-3</v>
      </c>
      <c r="CY26">
        <f>AA26</f>
        <v>55425.24</v>
      </c>
      <c r="CZ26">
        <f>AE26</f>
        <v>9560.4599999999991</v>
      </c>
      <c r="DA26">
        <f>AI26</f>
        <v>5.78</v>
      </c>
      <c r="DB26">
        <f t="shared" si="10"/>
        <v>3.54</v>
      </c>
      <c r="DC26">
        <f t="shared" si="11"/>
        <v>0</v>
      </c>
    </row>
    <row r="27" spans="1:107" x14ac:dyDescent="0.2">
      <c r="A27">
        <f>ROW(Source!A77)</f>
        <v>77</v>
      </c>
      <c r="B27">
        <v>309315610</v>
      </c>
      <c r="C27">
        <v>309316268</v>
      </c>
      <c r="D27">
        <v>89487850</v>
      </c>
      <c r="E27">
        <v>1</v>
      </c>
      <c r="F27">
        <v>1</v>
      </c>
      <c r="G27">
        <v>89440001</v>
      </c>
      <c r="H27">
        <v>3</v>
      </c>
      <c r="I27" t="s">
        <v>340</v>
      </c>
      <c r="J27" t="s">
        <v>341</v>
      </c>
      <c r="K27" t="s">
        <v>342</v>
      </c>
      <c r="L27">
        <v>1339</v>
      </c>
      <c r="N27">
        <v>1007</v>
      </c>
      <c r="O27" t="s">
        <v>33</v>
      </c>
      <c r="P27" t="s">
        <v>33</v>
      </c>
      <c r="Q27">
        <v>1</v>
      </c>
      <c r="W27">
        <v>0</v>
      </c>
      <c r="X27">
        <v>138241181</v>
      </c>
      <c r="Y27">
        <v>7.9000000000000001E-4</v>
      </c>
      <c r="AA27">
        <v>67.680000000000007</v>
      </c>
      <c r="AB27">
        <v>0</v>
      </c>
      <c r="AC27">
        <v>0</v>
      </c>
      <c r="AD27">
        <v>0</v>
      </c>
      <c r="AE27">
        <v>5.67</v>
      </c>
      <c r="AF27">
        <v>0</v>
      </c>
      <c r="AG27">
        <v>0</v>
      </c>
      <c r="AH27">
        <v>0</v>
      </c>
      <c r="AI27">
        <v>11.9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7.9000000000000001E-4</v>
      </c>
      <c r="AU27" t="s">
        <v>3</v>
      </c>
      <c r="AV27">
        <v>0</v>
      </c>
      <c r="AW27">
        <v>2</v>
      </c>
      <c r="AX27">
        <v>309565625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Y27*Source!I77</f>
        <v>4.7400000000000003E-3</v>
      </c>
      <c r="CY27">
        <f>AA27</f>
        <v>67.680000000000007</v>
      </c>
      <c r="CZ27">
        <f>AE27</f>
        <v>5.67</v>
      </c>
      <c r="DA27">
        <f>AI27</f>
        <v>11.9</v>
      </c>
      <c r="DB27">
        <f t="shared" si="10"/>
        <v>0</v>
      </c>
      <c r="DC27">
        <f t="shared" si="11"/>
        <v>0</v>
      </c>
    </row>
    <row r="28" spans="1:107" x14ac:dyDescent="0.2">
      <c r="A28">
        <f>ROW(Source!A77)</f>
        <v>77</v>
      </c>
      <c r="B28">
        <v>309315610</v>
      </c>
      <c r="C28">
        <v>309316268</v>
      </c>
      <c r="D28">
        <v>89491603</v>
      </c>
      <c r="E28">
        <v>1</v>
      </c>
      <c r="F28">
        <v>1</v>
      </c>
      <c r="G28">
        <v>89440001</v>
      </c>
      <c r="H28">
        <v>3</v>
      </c>
      <c r="I28" t="s">
        <v>155</v>
      </c>
      <c r="J28" t="s">
        <v>158</v>
      </c>
      <c r="K28" t="s">
        <v>156</v>
      </c>
      <c r="L28">
        <v>1391</v>
      </c>
      <c r="N28">
        <v>1013</v>
      </c>
      <c r="O28" t="s">
        <v>157</v>
      </c>
      <c r="P28" t="s">
        <v>157</v>
      </c>
      <c r="Q28">
        <v>1</v>
      </c>
      <c r="W28">
        <v>0</v>
      </c>
      <c r="X28">
        <v>-536411909</v>
      </c>
      <c r="Y28">
        <v>1</v>
      </c>
      <c r="AA28">
        <v>4385.21</v>
      </c>
      <c r="AB28">
        <v>0</v>
      </c>
      <c r="AC28">
        <v>0</v>
      </c>
      <c r="AD28">
        <v>0</v>
      </c>
      <c r="AE28">
        <v>2350.59</v>
      </c>
      <c r="AF28">
        <v>0</v>
      </c>
      <c r="AG28">
        <v>0</v>
      </c>
      <c r="AH28">
        <v>0</v>
      </c>
      <c r="AI28">
        <v>1.86</v>
      </c>
      <c r="AJ28">
        <v>1</v>
      </c>
      <c r="AK28">
        <v>1</v>
      </c>
      <c r="AL28">
        <v>1</v>
      </c>
      <c r="AN28">
        <v>0</v>
      </c>
      <c r="AO28">
        <v>0</v>
      </c>
      <c r="AP28">
        <v>1</v>
      </c>
      <c r="AQ28">
        <v>0</v>
      </c>
      <c r="AR28">
        <v>0</v>
      </c>
      <c r="AS28" t="s">
        <v>3</v>
      </c>
      <c r="AT28">
        <v>1</v>
      </c>
      <c r="AU28" t="s">
        <v>3</v>
      </c>
      <c r="AV28">
        <v>0</v>
      </c>
      <c r="AW28">
        <v>1</v>
      </c>
      <c r="AX28">
        <v>-1</v>
      </c>
      <c r="AY28">
        <v>0</v>
      </c>
      <c r="AZ28">
        <v>0</v>
      </c>
      <c r="BA28" t="s">
        <v>3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Y28*Source!I77</f>
        <v>6</v>
      </c>
      <c r="CY28">
        <f>AA28</f>
        <v>4385.21</v>
      </c>
      <c r="CZ28">
        <f>AE28</f>
        <v>2350.59</v>
      </c>
      <c r="DA28">
        <f>AI28</f>
        <v>1.86</v>
      </c>
      <c r="DB28">
        <f t="shared" si="10"/>
        <v>2350.59</v>
      </c>
      <c r="DC28">
        <f t="shared" si="11"/>
        <v>0</v>
      </c>
    </row>
    <row r="29" spans="1:107" x14ac:dyDescent="0.2">
      <c r="A29">
        <f>ROW(Source!A79)</f>
        <v>79</v>
      </c>
      <c r="B29">
        <v>309315610</v>
      </c>
      <c r="C29">
        <v>309316306</v>
      </c>
      <c r="D29">
        <v>89440006</v>
      </c>
      <c r="E29">
        <v>89440001</v>
      </c>
      <c r="F29">
        <v>1</v>
      </c>
      <c r="G29">
        <v>89440001</v>
      </c>
      <c r="H29">
        <v>1</v>
      </c>
      <c r="I29" t="s">
        <v>308</v>
      </c>
      <c r="J29" t="s">
        <v>3</v>
      </c>
      <c r="K29" t="s">
        <v>309</v>
      </c>
      <c r="L29">
        <v>1191</v>
      </c>
      <c r="N29">
        <v>1013</v>
      </c>
      <c r="O29" t="s">
        <v>310</v>
      </c>
      <c r="P29" t="s">
        <v>310</v>
      </c>
      <c r="Q29">
        <v>1</v>
      </c>
      <c r="W29">
        <v>0</v>
      </c>
      <c r="X29">
        <v>476480486</v>
      </c>
      <c r="Y29">
        <v>1.38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1.38</v>
      </c>
      <c r="AU29" t="s">
        <v>3</v>
      </c>
      <c r="AV29">
        <v>1</v>
      </c>
      <c r="AW29">
        <v>2</v>
      </c>
      <c r="AX29">
        <v>309316310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Y29*Source!I79</f>
        <v>3.0387599999999999</v>
      </c>
      <c r="CY29">
        <f>AD29</f>
        <v>0</v>
      </c>
      <c r="CZ29">
        <f>AH29</f>
        <v>0</v>
      </c>
      <c r="DA29">
        <f>AL29</f>
        <v>1</v>
      </c>
      <c r="DB29">
        <f t="shared" si="10"/>
        <v>0</v>
      </c>
      <c r="DC29">
        <f t="shared" si="11"/>
        <v>0</v>
      </c>
    </row>
    <row r="30" spans="1:107" x14ac:dyDescent="0.2">
      <c r="A30">
        <f>ROW(Source!A79)</f>
        <v>79</v>
      </c>
      <c r="B30">
        <v>309315610</v>
      </c>
      <c r="C30">
        <v>309316306</v>
      </c>
      <c r="D30">
        <v>89511139</v>
      </c>
      <c r="E30">
        <v>1</v>
      </c>
      <c r="F30">
        <v>1</v>
      </c>
      <c r="G30">
        <v>89440001</v>
      </c>
      <c r="H30">
        <v>2</v>
      </c>
      <c r="I30" t="s">
        <v>311</v>
      </c>
      <c r="J30" t="s">
        <v>312</v>
      </c>
      <c r="K30" t="s">
        <v>313</v>
      </c>
      <c r="L30">
        <v>1367</v>
      </c>
      <c r="N30">
        <v>1011</v>
      </c>
      <c r="O30" t="s">
        <v>314</v>
      </c>
      <c r="P30" t="s">
        <v>314</v>
      </c>
      <c r="Q30">
        <v>1</v>
      </c>
      <c r="W30">
        <v>0</v>
      </c>
      <c r="X30">
        <v>781556702</v>
      </c>
      <c r="Y30">
        <v>3.9874999999999998</v>
      </c>
      <c r="AA30">
        <v>0</v>
      </c>
      <c r="AB30">
        <v>1749.97</v>
      </c>
      <c r="AC30">
        <v>730.57</v>
      </c>
      <c r="AD30">
        <v>0</v>
      </c>
      <c r="AE30">
        <v>0</v>
      </c>
      <c r="AF30">
        <v>162.4</v>
      </c>
      <c r="AG30">
        <v>28.6</v>
      </c>
      <c r="AH30">
        <v>0</v>
      </c>
      <c r="AI30">
        <v>1</v>
      </c>
      <c r="AJ30">
        <v>9.0399999999999991</v>
      </c>
      <c r="AK30">
        <v>21.43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3.9874999999999998</v>
      </c>
      <c r="AU30" t="s">
        <v>3</v>
      </c>
      <c r="AV30">
        <v>0</v>
      </c>
      <c r="AW30">
        <v>2</v>
      </c>
      <c r="AX30">
        <v>309316312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Y30*Source!I79</f>
        <v>8.7804749999999991</v>
      </c>
      <c r="CY30">
        <f t="shared" ref="CY30:CY36" si="12">AB30</f>
        <v>1749.97</v>
      </c>
      <c r="CZ30">
        <f t="shared" ref="CZ30:CZ36" si="13">AF30</f>
        <v>162.4</v>
      </c>
      <c r="DA30">
        <f t="shared" ref="DA30:DA36" si="14">AJ30</f>
        <v>9.0399999999999991</v>
      </c>
      <c r="DB30">
        <f t="shared" si="10"/>
        <v>647.57000000000005</v>
      </c>
      <c r="DC30">
        <f t="shared" si="11"/>
        <v>114.04</v>
      </c>
    </row>
    <row r="31" spans="1:107" x14ac:dyDescent="0.2">
      <c r="A31">
        <f>ROW(Source!A79)</f>
        <v>79</v>
      </c>
      <c r="B31">
        <v>309315610</v>
      </c>
      <c r="C31">
        <v>309316306</v>
      </c>
      <c r="D31">
        <v>89511164</v>
      </c>
      <c r="E31">
        <v>1</v>
      </c>
      <c r="F31">
        <v>1</v>
      </c>
      <c r="G31">
        <v>89440001</v>
      </c>
      <c r="H31">
        <v>2</v>
      </c>
      <c r="I31" t="s">
        <v>315</v>
      </c>
      <c r="J31" t="s">
        <v>316</v>
      </c>
      <c r="K31" t="s">
        <v>317</v>
      </c>
      <c r="L31">
        <v>1367</v>
      </c>
      <c r="N31">
        <v>1011</v>
      </c>
      <c r="O31" t="s">
        <v>314</v>
      </c>
      <c r="P31" t="s">
        <v>314</v>
      </c>
      <c r="Q31">
        <v>1</v>
      </c>
      <c r="W31">
        <v>0</v>
      </c>
      <c r="X31">
        <v>695902881</v>
      </c>
      <c r="Y31">
        <v>0.997</v>
      </c>
      <c r="AA31">
        <v>0</v>
      </c>
      <c r="AB31">
        <v>1100.57</v>
      </c>
      <c r="AC31">
        <v>677.44</v>
      </c>
      <c r="AD31">
        <v>0</v>
      </c>
      <c r="AE31">
        <v>0</v>
      </c>
      <c r="AF31">
        <v>110.31</v>
      </c>
      <c r="AG31">
        <v>26.52</v>
      </c>
      <c r="AH31">
        <v>0</v>
      </c>
      <c r="AI31">
        <v>1</v>
      </c>
      <c r="AJ31">
        <v>8.3699999999999992</v>
      </c>
      <c r="AK31">
        <v>21.43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0.997</v>
      </c>
      <c r="AU31" t="s">
        <v>3</v>
      </c>
      <c r="AV31">
        <v>0</v>
      </c>
      <c r="AW31">
        <v>2</v>
      </c>
      <c r="AX31">
        <v>309316313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Y31*Source!I79</f>
        <v>2.1953939999999998</v>
      </c>
      <c r="CY31">
        <f t="shared" si="12"/>
        <v>1100.57</v>
      </c>
      <c r="CZ31">
        <f t="shared" si="13"/>
        <v>110.31</v>
      </c>
      <c r="DA31">
        <f t="shared" si="14"/>
        <v>8.3699999999999992</v>
      </c>
      <c r="DB31">
        <f t="shared" si="10"/>
        <v>109.98</v>
      </c>
      <c r="DC31">
        <f t="shared" si="11"/>
        <v>26.44</v>
      </c>
    </row>
    <row r="32" spans="1:107" x14ac:dyDescent="0.2">
      <c r="A32">
        <f>ROW(Source!A80)</f>
        <v>80</v>
      </c>
      <c r="B32">
        <v>309315610</v>
      </c>
      <c r="C32">
        <v>309316317</v>
      </c>
      <c r="D32">
        <v>89440730</v>
      </c>
      <c r="E32">
        <v>89440001</v>
      </c>
      <c r="F32">
        <v>1</v>
      </c>
      <c r="G32">
        <v>89440001</v>
      </c>
      <c r="H32">
        <v>2</v>
      </c>
      <c r="I32" t="s">
        <v>305</v>
      </c>
      <c r="J32" t="s">
        <v>3</v>
      </c>
      <c r="K32" t="s">
        <v>306</v>
      </c>
      <c r="L32">
        <v>1344</v>
      </c>
      <c r="N32">
        <v>1008</v>
      </c>
      <c r="O32" t="s">
        <v>307</v>
      </c>
      <c r="P32" t="s">
        <v>307</v>
      </c>
      <c r="Q32">
        <v>1</v>
      </c>
      <c r="W32">
        <v>0</v>
      </c>
      <c r="X32">
        <v>-1180195794</v>
      </c>
      <c r="Y32">
        <v>45.37</v>
      </c>
      <c r="AA32">
        <v>0</v>
      </c>
      <c r="AB32">
        <v>1</v>
      </c>
      <c r="AC32">
        <v>0</v>
      </c>
      <c r="AD32">
        <v>0</v>
      </c>
      <c r="AE32">
        <v>0</v>
      </c>
      <c r="AF32">
        <v>1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45.37</v>
      </c>
      <c r="AU32" t="s">
        <v>3</v>
      </c>
      <c r="AV32">
        <v>0</v>
      </c>
      <c r="AW32">
        <v>2</v>
      </c>
      <c r="AX32">
        <v>309489055</v>
      </c>
      <c r="AY32">
        <v>1</v>
      </c>
      <c r="AZ32">
        <v>6144</v>
      </c>
      <c r="BA32">
        <v>30</v>
      </c>
      <c r="BB32">
        <v>2</v>
      </c>
      <c r="BC32">
        <v>0</v>
      </c>
      <c r="BD32">
        <v>-28.410000000000004</v>
      </c>
      <c r="BE32">
        <v>0</v>
      </c>
      <c r="BF32">
        <v>0</v>
      </c>
      <c r="BG32">
        <v>0</v>
      </c>
      <c r="BH32">
        <v>0</v>
      </c>
      <c r="BI32">
        <v>1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Y32*Source!I80</f>
        <v>9990.4739999999983</v>
      </c>
      <c r="CY32">
        <f t="shared" si="12"/>
        <v>1</v>
      </c>
      <c r="CZ32">
        <f t="shared" si="13"/>
        <v>1</v>
      </c>
      <c r="DA32">
        <f t="shared" si="14"/>
        <v>1</v>
      </c>
      <c r="DB32">
        <f t="shared" si="10"/>
        <v>45.37</v>
      </c>
      <c r="DC32">
        <f t="shared" si="11"/>
        <v>0</v>
      </c>
    </row>
    <row r="33" spans="1:107" x14ac:dyDescent="0.2">
      <c r="A33">
        <f>ROW(Source!A81)</f>
        <v>81</v>
      </c>
      <c r="B33">
        <v>309315610</v>
      </c>
      <c r="C33">
        <v>309316330</v>
      </c>
      <c r="D33">
        <v>89440730</v>
      </c>
      <c r="E33">
        <v>89440001</v>
      </c>
      <c r="F33">
        <v>1</v>
      </c>
      <c r="G33">
        <v>89440001</v>
      </c>
      <c r="H33">
        <v>2</v>
      </c>
      <c r="I33" t="s">
        <v>305</v>
      </c>
      <c r="J33" t="s">
        <v>3</v>
      </c>
      <c r="K33" t="s">
        <v>306</v>
      </c>
      <c r="L33">
        <v>1344</v>
      </c>
      <c r="N33">
        <v>1008</v>
      </c>
      <c r="O33" t="s">
        <v>307</v>
      </c>
      <c r="P33" t="s">
        <v>307</v>
      </c>
      <c r="Q33">
        <v>1</v>
      </c>
      <c r="W33">
        <v>0</v>
      </c>
      <c r="X33">
        <v>-1180195794</v>
      </c>
      <c r="Y33">
        <v>43.28</v>
      </c>
      <c r="AA33">
        <v>0</v>
      </c>
      <c r="AB33">
        <v>1</v>
      </c>
      <c r="AC33">
        <v>0</v>
      </c>
      <c r="AD33">
        <v>0</v>
      </c>
      <c r="AE33">
        <v>0</v>
      </c>
      <c r="AF33">
        <v>1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43.28</v>
      </c>
      <c r="AU33" t="s">
        <v>3</v>
      </c>
      <c r="AV33">
        <v>0</v>
      </c>
      <c r="AW33">
        <v>2</v>
      </c>
      <c r="AX33">
        <v>309316342</v>
      </c>
      <c r="AY33">
        <v>1</v>
      </c>
      <c r="AZ33">
        <v>0</v>
      </c>
      <c r="BA33">
        <v>31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Y33*Source!I81</f>
        <v>17154.460800000001</v>
      </c>
      <c r="CY33">
        <f t="shared" si="12"/>
        <v>1</v>
      </c>
      <c r="CZ33">
        <f t="shared" si="13"/>
        <v>1</v>
      </c>
      <c r="DA33">
        <f t="shared" si="14"/>
        <v>1</v>
      </c>
      <c r="DB33">
        <f t="shared" si="10"/>
        <v>43.28</v>
      </c>
      <c r="DC33">
        <f t="shared" si="11"/>
        <v>0</v>
      </c>
    </row>
    <row r="34" spans="1:107" x14ac:dyDescent="0.2">
      <c r="A34">
        <f>ROW(Source!A82)</f>
        <v>82</v>
      </c>
      <c r="B34">
        <v>309315610</v>
      </c>
      <c r="C34">
        <v>309316344</v>
      </c>
      <c r="D34">
        <v>89440730</v>
      </c>
      <c r="E34">
        <v>89440001</v>
      </c>
      <c r="F34">
        <v>1</v>
      </c>
      <c r="G34">
        <v>89440001</v>
      </c>
      <c r="H34">
        <v>2</v>
      </c>
      <c r="I34" t="s">
        <v>305</v>
      </c>
      <c r="J34" t="s">
        <v>3</v>
      </c>
      <c r="K34" t="s">
        <v>306</v>
      </c>
      <c r="L34">
        <v>1344</v>
      </c>
      <c r="N34">
        <v>1008</v>
      </c>
      <c r="O34" t="s">
        <v>307</v>
      </c>
      <c r="P34" t="s">
        <v>307</v>
      </c>
      <c r="Q34">
        <v>1</v>
      </c>
      <c r="W34">
        <v>0</v>
      </c>
      <c r="X34">
        <v>-1180195794</v>
      </c>
      <c r="Y34">
        <v>27.91</v>
      </c>
      <c r="AA34">
        <v>0</v>
      </c>
      <c r="AB34">
        <v>1</v>
      </c>
      <c r="AC34">
        <v>0</v>
      </c>
      <c r="AD34">
        <v>0</v>
      </c>
      <c r="AE34">
        <v>0</v>
      </c>
      <c r="AF34">
        <v>1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27.91</v>
      </c>
      <c r="AU34" t="s">
        <v>3</v>
      </c>
      <c r="AV34">
        <v>0</v>
      </c>
      <c r="AW34">
        <v>2</v>
      </c>
      <c r="AX34">
        <v>309316357</v>
      </c>
      <c r="AY34">
        <v>1</v>
      </c>
      <c r="AZ34">
        <v>0</v>
      </c>
      <c r="BA34">
        <v>32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Y34*Source!I82</f>
        <v>2259.67733</v>
      </c>
      <c r="CY34">
        <f t="shared" si="12"/>
        <v>1</v>
      </c>
      <c r="CZ34">
        <f t="shared" si="13"/>
        <v>1</v>
      </c>
      <c r="DA34">
        <f t="shared" si="14"/>
        <v>1</v>
      </c>
      <c r="DB34">
        <f t="shared" si="10"/>
        <v>27.91</v>
      </c>
      <c r="DC34">
        <f t="shared" si="11"/>
        <v>0</v>
      </c>
    </row>
    <row r="35" spans="1:107" x14ac:dyDescent="0.2">
      <c r="A35">
        <f>ROW(Source!A83)</f>
        <v>83</v>
      </c>
      <c r="B35">
        <v>309315610</v>
      </c>
      <c r="C35">
        <v>309316358</v>
      </c>
      <c r="D35">
        <v>89440730</v>
      </c>
      <c r="E35">
        <v>89440001</v>
      </c>
      <c r="F35">
        <v>1</v>
      </c>
      <c r="G35">
        <v>89440001</v>
      </c>
      <c r="H35">
        <v>2</v>
      </c>
      <c r="I35" t="s">
        <v>305</v>
      </c>
      <c r="J35" t="s">
        <v>3</v>
      </c>
      <c r="K35" t="s">
        <v>306</v>
      </c>
      <c r="L35">
        <v>1344</v>
      </c>
      <c r="N35">
        <v>1008</v>
      </c>
      <c r="O35" t="s">
        <v>307</v>
      </c>
      <c r="P35" t="s">
        <v>307</v>
      </c>
      <c r="Q35">
        <v>1</v>
      </c>
      <c r="W35">
        <v>0</v>
      </c>
      <c r="X35">
        <v>-1180195794</v>
      </c>
      <c r="Y35">
        <v>101</v>
      </c>
      <c r="AA35">
        <v>0</v>
      </c>
      <c r="AB35">
        <v>1</v>
      </c>
      <c r="AC35">
        <v>0</v>
      </c>
      <c r="AD35">
        <v>0</v>
      </c>
      <c r="AE35">
        <v>0</v>
      </c>
      <c r="AF35">
        <v>1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101</v>
      </c>
      <c r="AU35" t="s">
        <v>3</v>
      </c>
      <c r="AV35">
        <v>0</v>
      </c>
      <c r="AW35">
        <v>2</v>
      </c>
      <c r="AX35">
        <v>309316363</v>
      </c>
      <c r="AY35">
        <v>1</v>
      </c>
      <c r="AZ35">
        <v>0</v>
      </c>
      <c r="BA35">
        <v>33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Y35*Source!I83</f>
        <v>8177.262999999999</v>
      </c>
      <c r="CY35">
        <f t="shared" si="12"/>
        <v>1</v>
      </c>
      <c r="CZ35">
        <f t="shared" si="13"/>
        <v>1</v>
      </c>
      <c r="DA35">
        <f t="shared" si="14"/>
        <v>1</v>
      </c>
      <c r="DB35">
        <f t="shared" si="10"/>
        <v>101</v>
      </c>
      <c r="DC35">
        <f t="shared" si="11"/>
        <v>0</v>
      </c>
    </row>
    <row r="36" spans="1:107" x14ac:dyDescent="0.2">
      <c r="A36">
        <f>ROW(Source!A118)</f>
        <v>118</v>
      </c>
      <c r="B36">
        <v>309315610</v>
      </c>
      <c r="C36">
        <v>309316364</v>
      </c>
      <c r="D36">
        <v>89440730</v>
      </c>
      <c r="E36">
        <v>89440001</v>
      </c>
      <c r="F36">
        <v>1</v>
      </c>
      <c r="G36">
        <v>89440001</v>
      </c>
      <c r="H36">
        <v>2</v>
      </c>
      <c r="I36" t="s">
        <v>305</v>
      </c>
      <c r="J36" t="s">
        <v>3</v>
      </c>
      <c r="K36" t="s">
        <v>306</v>
      </c>
      <c r="L36">
        <v>1344</v>
      </c>
      <c r="N36">
        <v>1008</v>
      </c>
      <c r="O36" t="s">
        <v>307</v>
      </c>
      <c r="P36" t="s">
        <v>307</v>
      </c>
      <c r="Q36">
        <v>1</v>
      </c>
      <c r="W36">
        <v>0</v>
      </c>
      <c r="X36">
        <v>-1180195794</v>
      </c>
      <c r="Y36">
        <v>1774.6845999999998</v>
      </c>
      <c r="AA36">
        <v>0</v>
      </c>
      <c r="AB36">
        <v>1</v>
      </c>
      <c r="AC36">
        <v>0</v>
      </c>
      <c r="AD36">
        <v>0</v>
      </c>
      <c r="AE36">
        <v>0</v>
      </c>
      <c r="AF36">
        <v>1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2012</v>
      </c>
      <c r="AU36" t="s">
        <v>172</v>
      </c>
      <c r="AV36">
        <v>0</v>
      </c>
      <c r="AW36">
        <v>2</v>
      </c>
      <c r="AX36">
        <v>309316370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Y36*Source!I118</f>
        <v>1774.6845999999998</v>
      </c>
      <c r="CY36">
        <f t="shared" si="12"/>
        <v>1</v>
      </c>
      <c r="CZ36">
        <f t="shared" si="13"/>
        <v>1</v>
      </c>
      <c r="DA36">
        <f t="shared" si="14"/>
        <v>1</v>
      </c>
      <c r="DB36">
        <f>ROUND((ROUND(AT36*CZ36,2)*1.15*0.767),6)</f>
        <v>1774.6846</v>
      </c>
      <c r="DC36">
        <f>ROUND((ROUND(AT36*AG36,2)*1.15*0.767),6)</f>
        <v>0</v>
      </c>
    </row>
    <row r="37" spans="1:107" x14ac:dyDescent="0.2">
      <c r="A37">
        <f>ROW(Source!A118)</f>
        <v>118</v>
      </c>
      <c r="B37">
        <v>309315610</v>
      </c>
      <c r="C37">
        <v>309316364</v>
      </c>
      <c r="D37">
        <v>89461287</v>
      </c>
      <c r="E37">
        <v>89440001</v>
      </c>
      <c r="F37">
        <v>1</v>
      </c>
      <c r="G37">
        <v>89440001</v>
      </c>
      <c r="H37">
        <v>3</v>
      </c>
      <c r="I37" t="s">
        <v>27</v>
      </c>
      <c r="J37" t="s">
        <v>3</v>
      </c>
      <c r="K37" t="s">
        <v>28</v>
      </c>
      <c r="L37">
        <v>1348</v>
      </c>
      <c r="N37">
        <v>1009</v>
      </c>
      <c r="O37" t="s">
        <v>29</v>
      </c>
      <c r="P37" t="s">
        <v>29</v>
      </c>
      <c r="Q37">
        <v>1000</v>
      </c>
      <c r="W37">
        <v>0</v>
      </c>
      <c r="X37">
        <v>1489638031</v>
      </c>
      <c r="Y37">
        <v>0.257712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0</v>
      </c>
      <c r="AP37">
        <v>1</v>
      </c>
      <c r="AQ37">
        <v>0</v>
      </c>
      <c r="AR37">
        <v>0</v>
      </c>
      <c r="AS37" t="s">
        <v>3</v>
      </c>
      <c r="AT37">
        <v>0.33600000000000002</v>
      </c>
      <c r="AU37" t="s">
        <v>171</v>
      </c>
      <c r="AV37">
        <v>0</v>
      </c>
      <c r="AW37">
        <v>2</v>
      </c>
      <c r="AX37">
        <v>309316371</v>
      </c>
      <c r="AY37">
        <v>1</v>
      </c>
      <c r="AZ37">
        <v>0</v>
      </c>
      <c r="BA37">
        <v>35</v>
      </c>
      <c r="BB37">
        <v>3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Y37*Source!I118</f>
        <v>0.257712</v>
      </c>
      <c r="CY37">
        <f>AA37</f>
        <v>0</v>
      </c>
      <c r="CZ37">
        <f>AE37</f>
        <v>0</v>
      </c>
      <c r="DA37">
        <f>AI37</f>
        <v>1</v>
      </c>
      <c r="DB37">
        <f>ROUND((ROUND(AT37*CZ37,2)*0.767),6)</f>
        <v>0</v>
      </c>
      <c r="DC37">
        <f>ROUND((ROUND(AT37*AG37,2)*0.767),6)</f>
        <v>0</v>
      </c>
    </row>
    <row r="38" spans="1:107" x14ac:dyDescent="0.2">
      <c r="A38">
        <f>ROW(Source!A118)</f>
        <v>118</v>
      </c>
      <c r="B38">
        <v>309315610</v>
      </c>
      <c r="C38">
        <v>309316364</v>
      </c>
      <c r="D38">
        <v>89461289</v>
      </c>
      <c r="E38">
        <v>89440001</v>
      </c>
      <c r="F38">
        <v>1</v>
      </c>
      <c r="G38">
        <v>89440001</v>
      </c>
      <c r="H38">
        <v>3</v>
      </c>
      <c r="I38" t="s">
        <v>31</v>
      </c>
      <c r="J38" t="s">
        <v>3</v>
      </c>
      <c r="K38" t="s">
        <v>32</v>
      </c>
      <c r="L38">
        <v>1339</v>
      </c>
      <c r="N38">
        <v>1007</v>
      </c>
      <c r="O38" t="s">
        <v>33</v>
      </c>
      <c r="P38" t="s">
        <v>33</v>
      </c>
      <c r="Q38">
        <v>1</v>
      </c>
      <c r="W38">
        <v>0</v>
      </c>
      <c r="X38">
        <v>179728826</v>
      </c>
      <c r="Y38">
        <v>18.354310000000002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0</v>
      </c>
      <c r="AP38">
        <v>1</v>
      </c>
      <c r="AQ38">
        <v>0</v>
      </c>
      <c r="AR38">
        <v>0</v>
      </c>
      <c r="AS38" t="s">
        <v>3</v>
      </c>
      <c r="AT38">
        <v>23.93</v>
      </c>
      <c r="AU38" t="s">
        <v>171</v>
      </c>
      <c r="AV38">
        <v>0</v>
      </c>
      <c r="AW38">
        <v>2</v>
      </c>
      <c r="AX38">
        <v>309316372</v>
      </c>
      <c r="AY38">
        <v>1</v>
      </c>
      <c r="AZ38">
        <v>0</v>
      </c>
      <c r="BA38">
        <v>36</v>
      </c>
      <c r="BB38">
        <v>3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Y38*Source!I118</f>
        <v>18.354310000000002</v>
      </c>
      <c r="CY38">
        <f>AA38</f>
        <v>0</v>
      </c>
      <c r="CZ38">
        <f>AE38</f>
        <v>0</v>
      </c>
      <c r="DA38">
        <f>AI38</f>
        <v>1</v>
      </c>
      <c r="DB38">
        <f>ROUND((ROUND(AT38*CZ38,2)*0.767),6)</f>
        <v>0</v>
      </c>
      <c r="DC38">
        <f>ROUND((ROUND(AT38*AG38,2)*0.767),6)</f>
        <v>0</v>
      </c>
    </row>
    <row r="39" spans="1:107" x14ac:dyDescent="0.2">
      <c r="A39">
        <f>ROW(Source!A121)</f>
        <v>121</v>
      </c>
      <c r="B39">
        <v>309315610</v>
      </c>
      <c r="C39">
        <v>309316384</v>
      </c>
      <c r="D39">
        <v>89440730</v>
      </c>
      <c r="E39">
        <v>89440001</v>
      </c>
      <c r="F39">
        <v>1</v>
      </c>
      <c r="G39">
        <v>89440001</v>
      </c>
      <c r="H39">
        <v>2</v>
      </c>
      <c r="I39" t="s">
        <v>305</v>
      </c>
      <c r="J39" t="s">
        <v>3</v>
      </c>
      <c r="K39" t="s">
        <v>306</v>
      </c>
      <c r="L39">
        <v>1344</v>
      </c>
      <c r="N39">
        <v>1008</v>
      </c>
      <c r="O39" t="s">
        <v>307</v>
      </c>
      <c r="P39" t="s">
        <v>307</v>
      </c>
      <c r="Q39">
        <v>1</v>
      </c>
      <c r="W39">
        <v>0</v>
      </c>
      <c r="X39">
        <v>-1180195794</v>
      </c>
      <c r="Y39">
        <v>5770.7</v>
      </c>
      <c r="AA39">
        <v>0</v>
      </c>
      <c r="AB39">
        <v>1</v>
      </c>
      <c r="AC39">
        <v>0</v>
      </c>
      <c r="AD39">
        <v>0</v>
      </c>
      <c r="AE39">
        <v>0</v>
      </c>
      <c r="AF39">
        <v>1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5018</v>
      </c>
      <c r="AU39" t="s">
        <v>39</v>
      </c>
      <c r="AV39">
        <v>0</v>
      </c>
      <c r="AW39">
        <v>2</v>
      </c>
      <c r="AX39">
        <v>309316392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Y39*Source!I121</f>
        <v>5770.7</v>
      </c>
      <c r="CY39">
        <f>AB39</f>
        <v>1</v>
      </c>
      <c r="CZ39">
        <f>AF39</f>
        <v>1</v>
      </c>
      <c r="DA39">
        <f>AJ39</f>
        <v>1</v>
      </c>
      <c r="DB39">
        <f>ROUND((ROUND(AT39*CZ39,2)*1.15),6)</f>
        <v>5770.7</v>
      </c>
      <c r="DC39">
        <f>ROUND((ROUND(AT39*AG39,2)*1.15),6)</f>
        <v>0</v>
      </c>
    </row>
    <row r="40" spans="1:107" x14ac:dyDescent="0.2">
      <c r="A40">
        <f>ROW(Source!A122)</f>
        <v>122</v>
      </c>
      <c r="B40">
        <v>309315610</v>
      </c>
      <c r="C40">
        <v>309316399</v>
      </c>
      <c r="D40">
        <v>89440730</v>
      </c>
      <c r="E40">
        <v>89440001</v>
      </c>
      <c r="F40">
        <v>1</v>
      </c>
      <c r="G40">
        <v>89440001</v>
      </c>
      <c r="H40">
        <v>2</v>
      </c>
      <c r="I40" t="s">
        <v>305</v>
      </c>
      <c r="J40" t="s">
        <v>3</v>
      </c>
      <c r="K40" t="s">
        <v>306</v>
      </c>
      <c r="L40">
        <v>1344</v>
      </c>
      <c r="N40">
        <v>1008</v>
      </c>
      <c r="O40" t="s">
        <v>307</v>
      </c>
      <c r="P40" t="s">
        <v>307</v>
      </c>
      <c r="Q40">
        <v>1</v>
      </c>
      <c r="W40">
        <v>0</v>
      </c>
      <c r="X40">
        <v>-1180195794</v>
      </c>
      <c r="Y40">
        <v>34.5</v>
      </c>
      <c r="AA40">
        <v>0</v>
      </c>
      <c r="AB40">
        <v>1</v>
      </c>
      <c r="AC40">
        <v>0</v>
      </c>
      <c r="AD40">
        <v>0</v>
      </c>
      <c r="AE40">
        <v>0</v>
      </c>
      <c r="AF40">
        <v>1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30</v>
      </c>
      <c r="AU40" t="s">
        <v>39</v>
      </c>
      <c r="AV40">
        <v>0</v>
      </c>
      <c r="AW40">
        <v>2</v>
      </c>
      <c r="AX40">
        <v>309316407</v>
      </c>
      <c r="AY40">
        <v>1</v>
      </c>
      <c r="AZ40">
        <v>0</v>
      </c>
      <c r="BA40">
        <v>38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Y40*Source!I122</f>
        <v>2415</v>
      </c>
      <c r="CY40">
        <f>AB40</f>
        <v>1</v>
      </c>
      <c r="CZ40">
        <f>AF40</f>
        <v>1</v>
      </c>
      <c r="DA40">
        <f>AJ40</f>
        <v>1</v>
      </c>
      <c r="DB40">
        <f>ROUND((ROUND(AT40*CZ40,2)*1.15),6)</f>
        <v>34.5</v>
      </c>
      <c r="DC40">
        <f>ROUND((ROUND(AT40*AG40,2)*1.15),6)</f>
        <v>0</v>
      </c>
    </row>
    <row r="41" spans="1:107" x14ac:dyDescent="0.2">
      <c r="A41">
        <f>ROW(Source!A122)</f>
        <v>122</v>
      </c>
      <c r="B41">
        <v>309315610</v>
      </c>
      <c r="C41">
        <v>309316399</v>
      </c>
      <c r="D41">
        <v>89461289</v>
      </c>
      <c r="E41">
        <v>89440001</v>
      </c>
      <c r="F41">
        <v>1</v>
      </c>
      <c r="G41">
        <v>89440001</v>
      </c>
      <c r="H41">
        <v>3</v>
      </c>
      <c r="I41" t="s">
        <v>31</v>
      </c>
      <c r="J41" t="s">
        <v>3</v>
      </c>
      <c r="K41" t="s">
        <v>32</v>
      </c>
      <c r="L41">
        <v>1339</v>
      </c>
      <c r="N41">
        <v>1007</v>
      </c>
      <c r="O41" t="s">
        <v>33</v>
      </c>
      <c r="P41" t="s">
        <v>33</v>
      </c>
      <c r="Q41">
        <v>1</v>
      </c>
      <c r="W41">
        <v>0</v>
      </c>
      <c r="X41">
        <v>179728826</v>
      </c>
      <c r="Y41">
        <v>0.2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0</v>
      </c>
      <c r="AP41">
        <v>0</v>
      </c>
      <c r="AQ41">
        <v>0</v>
      </c>
      <c r="AR41">
        <v>0</v>
      </c>
      <c r="AS41" t="s">
        <v>3</v>
      </c>
      <c r="AT41">
        <v>0.2</v>
      </c>
      <c r="AU41" t="s">
        <v>3</v>
      </c>
      <c r="AV41">
        <v>0</v>
      </c>
      <c r="AW41">
        <v>2</v>
      </c>
      <c r="AX41">
        <v>309316410</v>
      </c>
      <c r="AY41">
        <v>1</v>
      </c>
      <c r="AZ41">
        <v>0</v>
      </c>
      <c r="BA41">
        <v>39</v>
      </c>
      <c r="BB41">
        <v>3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Y41*Source!I122</f>
        <v>14</v>
      </c>
      <c r="CY41">
        <f>AA41</f>
        <v>0</v>
      </c>
      <c r="CZ41">
        <f>AE41</f>
        <v>0</v>
      </c>
      <c r="DA41">
        <f>AI41</f>
        <v>1</v>
      </c>
      <c r="DB41">
        <f t="shared" ref="DB41:DB48" si="15">ROUND(ROUND(AT41*CZ41,2),6)</f>
        <v>0</v>
      </c>
      <c r="DC41">
        <f t="shared" ref="DC41:DC48" si="16">ROUND(ROUND(AT41*AG41,2),6)</f>
        <v>0</v>
      </c>
    </row>
    <row r="42" spans="1:107" x14ac:dyDescent="0.2">
      <c r="A42">
        <f>ROW(Source!A124)</f>
        <v>124</v>
      </c>
      <c r="B42">
        <v>309315610</v>
      </c>
      <c r="C42">
        <v>309316420</v>
      </c>
      <c r="D42">
        <v>89440006</v>
      </c>
      <c r="E42">
        <v>89440001</v>
      </c>
      <c r="F42">
        <v>1</v>
      </c>
      <c r="G42">
        <v>89440001</v>
      </c>
      <c r="H42">
        <v>1</v>
      </c>
      <c r="I42" t="s">
        <v>308</v>
      </c>
      <c r="J42" t="s">
        <v>3</v>
      </c>
      <c r="K42" t="s">
        <v>309</v>
      </c>
      <c r="L42">
        <v>1191</v>
      </c>
      <c r="N42">
        <v>1013</v>
      </c>
      <c r="O42" t="s">
        <v>310</v>
      </c>
      <c r="P42" t="s">
        <v>310</v>
      </c>
      <c r="Q42">
        <v>1</v>
      </c>
      <c r="W42">
        <v>0</v>
      </c>
      <c r="X42">
        <v>476480486</v>
      </c>
      <c r="Y42">
        <v>1.38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1.38</v>
      </c>
      <c r="AU42" t="s">
        <v>3</v>
      </c>
      <c r="AV42">
        <v>1</v>
      </c>
      <c r="AW42">
        <v>2</v>
      </c>
      <c r="AX42">
        <v>309316432</v>
      </c>
      <c r="AY42">
        <v>1</v>
      </c>
      <c r="AZ42">
        <v>0</v>
      </c>
      <c r="BA42">
        <v>40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Y42*Source!I124</f>
        <v>0.44642999999999999</v>
      </c>
      <c r="CY42">
        <f>AD42</f>
        <v>0</v>
      </c>
      <c r="CZ42">
        <f>AH42</f>
        <v>0</v>
      </c>
      <c r="DA42">
        <f>AL42</f>
        <v>1</v>
      </c>
      <c r="DB42">
        <f t="shared" si="15"/>
        <v>0</v>
      </c>
      <c r="DC42">
        <f t="shared" si="16"/>
        <v>0</v>
      </c>
    </row>
    <row r="43" spans="1:107" x14ac:dyDescent="0.2">
      <c r="A43">
        <f>ROW(Source!A124)</f>
        <v>124</v>
      </c>
      <c r="B43">
        <v>309315610</v>
      </c>
      <c r="C43">
        <v>309316420</v>
      </c>
      <c r="D43">
        <v>89511139</v>
      </c>
      <c r="E43">
        <v>1</v>
      </c>
      <c r="F43">
        <v>1</v>
      </c>
      <c r="G43">
        <v>89440001</v>
      </c>
      <c r="H43">
        <v>2</v>
      </c>
      <c r="I43" t="s">
        <v>311</v>
      </c>
      <c r="J43" t="s">
        <v>312</v>
      </c>
      <c r="K43" t="s">
        <v>313</v>
      </c>
      <c r="L43">
        <v>1367</v>
      </c>
      <c r="N43">
        <v>1011</v>
      </c>
      <c r="O43" t="s">
        <v>314</v>
      </c>
      <c r="P43" t="s">
        <v>314</v>
      </c>
      <c r="Q43">
        <v>1</v>
      </c>
      <c r="W43">
        <v>0</v>
      </c>
      <c r="X43">
        <v>781556702</v>
      </c>
      <c r="Y43">
        <v>3.9874999999999998</v>
      </c>
      <c r="AA43">
        <v>0</v>
      </c>
      <c r="AB43">
        <v>1749.97</v>
      </c>
      <c r="AC43">
        <v>730.57</v>
      </c>
      <c r="AD43">
        <v>0</v>
      </c>
      <c r="AE43">
        <v>0</v>
      </c>
      <c r="AF43">
        <v>162.4</v>
      </c>
      <c r="AG43">
        <v>28.6</v>
      </c>
      <c r="AH43">
        <v>0</v>
      </c>
      <c r="AI43">
        <v>1</v>
      </c>
      <c r="AJ43">
        <v>9.0399999999999991</v>
      </c>
      <c r="AK43">
        <v>21.43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3.9874999999999998</v>
      </c>
      <c r="AU43" t="s">
        <v>3</v>
      </c>
      <c r="AV43">
        <v>0</v>
      </c>
      <c r="AW43">
        <v>2</v>
      </c>
      <c r="AX43">
        <v>309316433</v>
      </c>
      <c r="AY43">
        <v>1</v>
      </c>
      <c r="AZ43">
        <v>0</v>
      </c>
      <c r="BA43">
        <v>41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Y43*Source!I124</f>
        <v>1.2899562499999999</v>
      </c>
      <c r="CY43">
        <f t="shared" ref="CY43:CY50" si="17">AB43</f>
        <v>1749.97</v>
      </c>
      <c r="CZ43">
        <f t="shared" ref="CZ43:CZ50" si="18">AF43</f>
        <v>162.4</v>
      </c>
      <c r="DA43">
        <f t="shared" ref="DA43:DA50" si="19">AJ43</f>
        <v>9.0399999999999991</v>
      </c>
      <c r="DB43">
        <f t="shared" si="15"/>
        <v>647.57000000000005</v>
      </c>
      <c r="DC43">
        <f t="shared" si="16"/>
        <v>114.04</v>
      </c>
    </row>
    <row r="44" spans="1:107" x14ac:dyDescent="0.2">
      <c r="A44">
        <f>ROW(Source!A124)</f>
        <v>124</v>
      </c>
      <c r="B44">
        <v>309315610</v>
      </c>
      <c r="C44">
        <v>309316420</v>
      </c>
      <c r="D44">
        <v>89511164</v>
      </c>
      <c r="E44">
        <v>1</v>
      </c>
      <c r="F44">
        <v>1</v>
      </c>
      <c r="G44">
        <v>89440001</v>
      </c>
      <c r="H44">
        <v>2</v>
      </c>
      <c r="I44" t="s">
        <v>315</v>
      </c>
      <c r="J44" t="s">
        <v>316</v>
      </c>
      <c r="K44" t="s">
        <v>317</v>
      </c>
      <c r="L44">
        <v>1367</v>
      </c>
      <c r="N44">
        <v>1011</v>
      </c>
      <c r="O44" t="s">
        <v>314</v>
      </c>
      <c r="P44" t="s">
        <v>314</v>
      </c>
      <c r="Q44">
        <v>1</v>
      </c>
      <c r="W44">
        <v>0</v>
      </c>
      <c r="X44">
        <v>695902881</v>
      </c>
      <c r="Y44">
        <v>0.997</v>
      </c>
      <c r="AA44">
        <v>0</v>
      </c>
      <c r="AB44">
        <v>1100.57</v>
      </c>
      <c r="AC44">
        <v>677.44</v>
      </c>
      <c r="AD44">
        <v>0</v>
      </c>
      <c r="AE44">
        <v>0</v>
      </c>
      <c r="AF44">
        <v>110.31</v>
      </c>
      <c r="AG44">
        <v>26.52</v>
      </c>
      <c r="AH44">
        <v>0</v>
      </c>
      <c r="AI44">
        <v>1</v>
      </c>
      <c r="AJ44">
        <v>8.3699999999999992</v>
      </c>
      <c r="AK44">
        <v>21.43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0.997</v>
      </c>
      <c r="AU44" t="s">
        <v>3</v>
      </c>
      <c r="AV44">
        <v>0</v>
      </c>
      <c r="AW44">
        <v>2</v>
      </c>
      <c r="AX44">
        <v>309316434</v>
      </c>
      <c r="AY44">
        <v>1</v>
      </c>
      <c r="AZ44">
        <v>0</v>
      </c>
      <c r="BA44">
        <v>42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Y44*Source!I124</f>
        <v>0.32252950000000002</v>
      </c>
      <c r="CY44">
        <f t="shared" si="17"/>
        <v>1100.57</v>
      </c>
      <c r="CZ44">
        <f t="shared" si="18"/>
        <v>110.31</v>
      </c>
      <c r="DA44">
        <f t="shared" si="19"/>
        <v>8.3699999999999992</v>
      </c>
      <c r="DB44">
        <f t="shared" si="15"/>
        <v>109.98</v>
      </c>
      <c r="DC44">
        <f t="shared" si="16"/>
        <v>26.44</v>
      </c>
    </row>
    <row r="45" spans="1:107" x14ac:dyDescent="0.2">
      <c r="A45">
        <f>ROW(Source!A125)</f>
        <v>125</v>
      </c>
      <c r="B45">
        <v>309315610</v>
      </c>
      <c r="C45">
        <v>309316436</v>
      </c>
      <c r="D45">
        <v>89440730</v>
      </c>
      <c r="E45">
        <v>89440001</v>
      </c>
      <c r="F45">
        <v>1</v>
      </c>
      <c r="G45">
        <v>89440001</v>
      </c>
      <c r="H45">
        <v>2</v>
      </c>
      <c r="I45" t="s">
        <v>305</v>
      </c>
      <c r="J45" t="s">
        <v>3</v>
      </c>
      <c r="K45" t="s">
        <v>306</v>
      </c>
      <c r="L45">
        <v>1344</v>
      </c>
      <c r="N45">
        <v>1008</v>
      </c>
      <c r="O45" t="s">
        <v>307</v>
      </c>
      <c r="P45" t="s">
        <v>307</v>
      </c>
      <c r="Q45">
        <v>1</v>
      </c>
      <c r="W45">
        <v>0</v>
      </c>
      <c r="X45">
        <v>-1180195794</v>
      </c>
      <c r="Y45">
        <v>45.37</v>
      </c>
      <c r="AA45">
        <v>0</v>
      </c>
      <c r="AB45">
        <v>1</v>
      </c>
      <c r="AC45">
        <v>0</v>
      </c>
      <c r="AD45">
        <v>0</v>
      </c>
      <c r="AE45">
        <v>0</v>
      </c>
      <c r="AF45">
        <v>1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45.37</v>
      </c>
      <c r="AU45" t="s">
        <v>3</v>
      </c>
      <c r="AV45">
        <v>0</v>
      </c>
      <c r="AW45">
        <v>2</v>
      </c>
      <c r="AX45">
        <v>309547887</v>
      </c>
      <c r="AY45">
        <v>1</v>
      </c>
      <c r="AZ45">
        <v>6144</v>
      </c>
      <c r="BA45">
        <v>43</v>
      </c>
      <c r="BB45">
        <v>2</v>
      </c>
      <c r="BC45">
        <v>0</v>
      </c>
      <c r="BD45">
        <v>-28.410000000000004</v>
      </c>
      <c r="BE45">
        <v>0</v>
      </c>
      <c r="BF45">
        <v>0</v>
      </c>
      <c r="BG45">
        <v>0</v>
      </c>
      <c r="BH45">
        <v>0</v>
      </c>
      <c r="BI45">
        <v>1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Y45*Source!I125</f>
        <v>1467.7194999999999</v>
      </c>
      <c r="CY45">
        <f t="shared" si="17"/>
        <v>1</v>
      </c>
      <c r="CZ45">
        <f t="shared" si="18"/>
        <v>1</v>
      </c>
      <c r="DA45">
        <f t="shared" si="19"/>
        <v>1</v>
      </c>
      <c r="DB45">
        <f t="shared" si="15"/>
        <v>45.37</v>
      </c>
      <c r="DC45">
        <f t="shared" si="16"/>
        <v>0</v>
      </c>
    </row>
    <row r="46" spans="1:107" x14ac:dyDescent="0.2">
      <c r="A46">
        <f>ROW(Source!A126)</f>
        <v>126</v>
      </c>
      <c r="B46">
        <v>309315610</v>
      </c>
      <c r="C46">
        <v>309316440</v>
      </c>
      <c r="D46">
        <v>89440730</v>
      </c>
      <c r="E46">
        <v>89440001</v>
      </c>
      <c r="F46">
        <v>1</v>
      </c>
      <c r="G46">
        <v>89440001</v>
      </c>
      <c r="H46">
        <v>2</v>
      </c>
      <c r="I46" t="s">
        <v>305</v>
      </c>
      <c r="J46" t="s">
        <v>3</v>
      </c>
      <c r="K46" t="s">
        <v>306</v>
      </c>
      <c r="L46">
        <v>1344</v>
      </c>
      <c r="N46">
        <v>1008</v>
      </c>
      <c r="O46" t="s">
        <v>307</v>
      </c>
      <c r="P46" t="s">
        <v>307</v>
      </c>
      <c r="Q46">
        <v>1</v>
      </c>
      <c r="W46">
        <v>0</v>
      </c>
      <c r="X46">
        <v>-1180195794</v>
      </c>
      <c r="Y46">
        <v>43.28</v>
      </c>
      <c r="AA46">
        <v>0</v>
      </c>
      <c r="AB46">
        <v>1</v>
      </c>
      <c r="AC46">
        <v>0</v>
      </c>
      <c r="AD46">
        <v>0</v>
      </c>
      <c r="AE46">
        <v>0</v>
      </c>
      <c r="AF46">
        <v>1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43.28</v>
      </c>
      <c r="AU46" t="s">
        <v>3</v>
      </c>
      <c r="AV46">
        <v>0</v>
      </c>
      <c r="AW46">
        <v>2</v>
      </c>
      <c r="AX46">
        <v>309316442</v>
      </c>
      <c r="AY46">
        <v>1</v>
      </c>
      <c r="AZ46">
        <v>0</v>
      </c>
      <c r="BA46">
        <v>44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Y46*Source!I126</f>
        <v>2520.1943999999999</v>
      </c>
      <c r="CY46">
        <f t="shared" si="17"/>
        <v>1</v>
      </c>
      <c r="CZ46">
        <f t="shared" si="18"/>
        <v>1</v>
      </c>
      <c r="DA46">
        <f t="shared" si="19"/>
        <v>1</v>
      </c>
      <c r="DB46">
        <f t="shared" si="15"/>
        <v>43.28</v>
      </c>
      <c r="DC46">
        <f t="shared" si="16"/>
        <v>0</v>
      </c>
    </row>
    <row r="47" spans="1:107" x14ac:dyDescent="0.2">
      <c r="A47">
        <f>ROW(Source!A127)</f>
        <v>127</v>
      </c>
      <c r="B47">
        <v>309315610</v>
      </c>
      <c r="C47">
        <v>309316444</v>
      </c>
      <c r="D47">
        <v>89440730</v>
      </c>
      <c r="E47">
        <v>89440001</v>
      </c>
      <c r="F47">
        <v>1</v>
      </c>
      <c r="G47">
        <v>89440001</v>
      </c>
      <c r="H47">
        <v>2</v>
      </c>
      <c r="I47" t="s">
        <v>305</v>
      </c>
      <c r="J47" t="s">
        <v>3</v>
      </c>
      <c r="K47" t="s">
        <v>306</v>
      </c>
      <c r="L47">
        <v>1344</v>
      </c>
      <c r="N47">
        <v>1008</v>
      </c>
      <c r="O47" t="s">
        <v>307</v>
      </c>
      <c r="P47" t="s">
        <v>307</v>
      </c>
      <c r="Q47">
        <v>1</v>
      </c>
      <c r="W47">
        <v>0</v>
      </c>
      <c r="X47">
        <v>-1180195794</v>
      </c>
      <c r="Y47">
        <v>27.91</v>
      </c>
      <c r="AA47">
        <v>0</v>
      </c>
      <c r="AB47">
        <v>1</v>
      </c>
      <c r="AC47">
        <v>0</v>
      </c>
      <c r="AD47">
        <v>0</v>
      </c>
      <c r="AE47">
        <v>0</v>
      </c>
      <c r="AF47">
        <v>1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27.91</v>
      </c>
      <c r="AU47" t="s">
        <v>3</v>
      </c>
      <c r="AV47">
        <v>0</v>
      </c>
      <c r="AW47">
        <v>2</v>
      </c>
      <c r="AX47">
        <v>309316446</v>
      </c>
      <c r="AY47">
        <v>1</v>
      </c>
      <c r="AZ47">
        <v>0</v>
      </c>
      <c r="BA47">
        <v>45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Y47*Source!I127</f>
        <v>7.20078</v>
      </c>
      <c r="CY47">
        <f t="shared" si="17"/>
        <v>1</v>
      </c>
      <c r="CZ47">
        <f t="shared" si="18"/>
        <v>1</v>
      </c>
      <c r="DA47">
        <f t="shared" si="19"/>
        <v>1</v>
      </c>
      <c r="DB47">
        <f t="shared" si="15"/>
        <v>27.91</v>
      </c>
      <c r="DC47">
        <f t="shared" si="16"/>
        <v>0</v>
      </c>
    </row>
    <row r="48" spans="1:107" x14ac:dyDescent="0.2">
      <c r="A48">
        <f>ROW(Source!A128)</f>
        <v>128</v>
      </c>
      <c r="B48">
        <v>309315610</v>
      </c>
      <c r="C48">
        <v>309316447</v>
      </c>
      <c r="D48">
        <v>89440730</v>
      </c>
      <c r="E48">
        <v>89440001</v>
      </c>
      <c r="F48">
        <v>1</v>
      </c>
      <c r="G48">
        <v>89440001</v>
      </c>
      <c r="H48">
        <v>2</v>
      </c>
      <c r="I48" t="s">
        <v>305</v>
      </c>
      <c r="J48" t="s">
        <v>3</v>
      </c>
      <c r="K48" t="s">
        <v>306</v>
      </c>
      <c r="L48">
        <v>1344</v>
      </c>
      <c r="N48">
        <v>1008</v>
      </c>
      <c r="O48" t="s">
        <v>307</v>
      </c>
      <c r="P48" t="s">
        <v>307</v>
      </c>
      <c r="Q48">
        <v>1</v>
      </c>
      <c r="W48">
        <v>0</v>
      </c>
      <c r="X48">
        <v>-1180195794</v>
      </c>
      <c r="Y48">
        <v>101</v>
      </c>
      <c r="AA48">
        <v>0</v>
      </c>
      <c r="AB48">
        <v>1</v>
      </c>
      <c r="AC48">
        <v>0</v>
      </c>
      <c r="AD48">
        <v>0</v>
      </c>
      <c r="AE48">
        <v>0</v>
      </c>
      <c r="AF48">
        <v>1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101</v>
      </c>
      <c r="AU48" t="s">
        <v>3</v>
      </c>
      <c r="AV48">
        <v>0</v>
      </c>
      <c r="AW48">
        <v>2</v>
      </c>
      <c r="AX48">
        <v>309316450</v>
      </c>
      <c r="AY48">
        <v>1</v>
      </c>
      <c r="AZ48">
        <v>0</v>
      </c>
      <c r="BA48">
        <v>46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Y48*Source!I128</f>
        <v>26.058</v>
      </c>
      <c r="CY48">
        <f t="shared" si="17"/>
        <v>1</v>
      </c>
      <c r="CZ48">
        <f t="shared" si="18"/>
        <v>1</v>
      </c>
      <c r="DA48">
        <f t="shared" si="19"/>
        <v>1</v>
      </c>
      <c r="DB48">
        <f t="shared" si="15"/>
        <v>101</v>
      </c>
      <c r="DC48">
        <f t="shared" si="16"/>
        <v>0</v>
      </c>
    </row>
    <row r="49" spans="1:107" x14ac:dyDescent="0.2">
      <c r="A49">
        <f>ROW(Source!A163)</f>
        <v>163</v>
      </c>
      <c r="B49">
        <v>309315610</v>
      </c>
      <c r="C49">
        <v>309316451</v>
      </c>
      <c r="D49">
        <v>89440730</v>
      </c>
      <c r="E49">
        <v>89440001</v>
      </c>
      <c r="F49">
        <v>1</v>
      </c>
      <c r="G49">
        <v>89440001</v>
      </c>
      <c r="H49">
        <v>2</v>
      </c>
      <c r="I49" t="s">
        <v>305</v>
      </c>
      <c r="J49" t="s">
        <v>3</v>
      </c>
      <c r="K49" t="s">
        <v>306</v>
      </c>
      <c r="L49">
        <v>1344</v>
      </c>
      <c r="N49">
        <v>1008</v>
      </c>
      <c r="O49" t="s">
        <v>307</v>
      </c>
      <c r="P49" t="s">
        <v>307</v>
      </c>
      <c r="Q49">
        <v>1</v>
      </c>
      <c r="W49">
        <v>0</v>
      </c>
      <c r="X49">
        <v>-1180195794</v>
      </c>
      <c r="Y49">
        <v>2.5874999999999999</v>
      </c>
      <c r="AA49">
        <v>0</v>
      </c>
      <c r="AB49">
        <v>1</v>
      </c>
      <c r="AC49">
        <v>0</v>
      </c>
      <c r="AD49">
        <v>0</v>
      </c>
      <c r="AE49">
        <v>0</v>
      </c>
      <c r="AF49">
        <v>1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9</v>
      </c>
      <c r="AU49" t="s">
        <v>194</v>
      </c>
      <c r="AV49">
        <v>0</v>
      </c>
      <c r="AW49">
        <v>2</v>
      </c>
      <c r="AX49">
        <v>309316454</v>
      </c>
      <c r="AY49">
        <v>1</v>
      </c>
      <c r="AZ49">
        <v>0</v>
      </c>
      <c r="BA49">
        <v>47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Y49*Source!I163</f>
        <v>129.375</v>
      </c>
      <c r="CY49">
        <f t="shared" si="17"/>
        <v>1</v>
      </c>
      <c r="CZ49">
        <f t="shared" si="18"/>
        <v>1</v>
      </c>
      <c r="DA49">
        <f t="shared" si="19"/>
        <v>1</v>
      </c>
      <c r="DB49">
        <f>ROUND((ROUND(AT49*CZ49,2)*1.15*0.25),6)</f>
        <v>2.5874999999999999</v>
      </c>
      <c r="DC49">
        <f>ROUND((ROUND(AT49*AG49,2)*1.15*0.25),6)</f>
        <v>0</v>
      </c>
    </row>
    <row r="50" spans="1:107" x14ac:dyDescent="0.2">
      <c r="A50">
        <f>ROW(Source!A164)</f>
        <v>164</v>
      </c>
      <c r="B50">
        <v>309315610</v>
      </c>
      <c r="C50">
        <v>309316466</v>
      </c>
      <c r="D50">
        <v>89440730</v>
      </c>
      <c r="E50">
        <v>89440001</v>
      </c>
      <c r="F50">
        <v>1</v>
      </c>
      <c r="G50">
        <v>89440001</v>
      </c>
      <c r="H50">
        <v>2</v>
      </c>
      <c r="I50" t="s">
        <v>305</v>
      </c>
      <c r="J50" t="s">
        <v>3</v>
      </c>
      <c r="K50" t="s">
        <v>306</v>
      </c>
      <c r="L50">
        <v>1344</v>
      </c>
      <c r="N50">
        <v>1008</v>
      </c>
      <c r="O50" t="s">
        <v>307</v>
      </c>
      <c r="P50" t="s">
        <v>307</v>
      </c>
      <c r="Q50">
        <v>1</v>
      </c>
      <c r="W50">
        <v>0</v>
      </c>
      <c r="X50">
        <v>-1180195794</v>
      </c>
      <c r="Y50">
        <v>144.32499999999999</v>
      </c>
      <c r="AA50">
        <v>0</v>
      </c>
      <c r="AB50">
        <v>1</v>
      </c>
      <c r="AC50">
        <v>0</v>
      </c>
      <c r="AD50">
        <v>0</v>
      </c>
      <c r="AE50">
        <v>0</v>
      </c>
      <c r="AF50">
        <v>1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251</v>
      </c>
      <c r="AU50" t="s">
        <v>201</v>
      </c>
      <c r="AV50">
        <v>0</v>
      </c>
      <c r="AW50">
        <v>2</v>
      </c>
      <c r="AX50">
        <v>309555573</v>
      </c>
      <c r="AY50">
        <v>1</v>
      </c>
      <c r="AZ50">
        <v>0</v>
      </c>
      <c r="BA50">
        <v>48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Y50*Source!I164</f>
        <v>7216.2499999999991</v>
      </c>
      <c r="CY50">
        <f t="shared" si="17"/>
        <v>1</v>
      </c>
      <c r="CZ50">
        <f t="shared" si="18"/>
        <v>1</v>
      </c>
      <c r="DA50">
        <f t="shared" si="19"/>
        <v>1</v>
      </c>
      <c r="DB50">
        <f>ROUND((ROUND(AT50*CZ50,2)*1.15*0.5),6)</f>
        <v>144.32499999999999</v>
      </c>
      <c r="DC50">
        <f>ROUND((ROUND(AT50*AG50,2)*1.15*0.5),6)</f>
        <v>0</v>
      </c>
    </row>
    <row r="51" spans="1:107" x14ac:dyDescent="0.2">
      <c r="A51">
        <f>ROW(Source!A164)</f>
        <v>164</v>
      </c>
      <c r="B51">
        <v>309315610</v>
      </c>
      <c r="C51">
        <v>309316466</v>
      </c>
      <c r="D51">
        <v>89461289</v>
      </c>
      <c r="E51">
        <v>89440001</v>
      </c>
      <c r="F51">
        <v>1</v>
      </c>
      <c r="G51">
        <v>89440001</v>
      </c>
      <c r="H51">
        <v>3</v>
      </c>
      <c r="I51" t="s">
        <v>31</v>
      </c>
      <c r="J51" t="s">
        <v>3</v>
      </c>
      <c r="K51" t="s">
        <v>32</v>
      </c>
      <c r="L51">
        <v>1339</v>
      </c>
      <c r="N51">
        <v>1007</v>
      </c>
      <c r="O51" t="s">
        <v>33</v>
      </c>
      <c r="P51" t="s">
        <v>33</v>
      </c>
      <c r="Q51">
        <v>1</v>
      </c>
      <c r="W51">
        <v>0</v>
      </c>
      <c r="X51">
        <v>179728826</v>
      </c>
      <c r="Y51">
        <v>0.89500000000000002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0</v>
      </c>
      <c r="AP51">
        <v>1</v>
      </c>
      <c r="AQ51">
        <v>0</v>
      </c>
      <c r="AR51">
        <v>0</v>
      </c>
      <c r="AS51" t="s">
        <v>3</v>
      </c>
      <c r="AT51">
        <v>1.79</v>
      </c>
      <c r="AU51" t="s">
        <v>200</v>
      </c>
      <c r="AV51">
        <v>0</v>
      </c>
      <c r="AW51">
        <v>2</v>
      </c>
      <c r="AX51">
        <v>309555574</v>
      </c>
      <c r="AY51">
        <v>1</v>
      </c>
      <c r="AZ51">
        <v>0</v>
      </c>
      <c r="BA51">
        <v>49</v>
      </c>
      <c r="BB51">
        <v>3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Y51*Source!I164</f>
        <v>44.75</v>
      </c>
      <c r="CY51">
        <f>AA51</f>
        <v>0</v>
      </c>
      <c r="CZ51">
        <f>AE51</f>
        <v>0</v>
      </c>
      <c r="DA51">
        <f>AI51</f>
        <v>1</v>
      </c>
      <c r="DB51">
        <f>ROUND((ROUND(AT51*CZ51,2)*0.5),6)</f>
        <v>0</v>
      </c>
      <c r="DC51">
        <f>ROUND((ROUND(AT51*AG51,2)*0.5),6)</f>
        <v>0</v>
      </c>
    </row>
    <row r="52" spans="1:107" x14ac:dyDescent="0.2">
      <c r="A52">
        <f>ROW(Source!A166)</f>
        <v>166</v>
      </c>
      <c r="B52">
        <v>309315610</v>
      </c>
      <c r="C52">
        <v>309316477</v>
      </c>
      <c r="D52">
        <v>89440006</v>
      </c>
      <c r="E52">
        <v>89440001</v>
      </c>
      <c r="F52">
        <v>1</v>
      </c>
      <c r="G52">
        <v>89440001</v>
      </c>
      <c r="H52">
        <v>1</v>
      </c>
      <c r="I52" t="s">
        <v>308</v>
      </c>
      <c r="J52" t="s">
        <v>3</v>
      </c>
      <c r="K52" t="s">
        <v>309</v>
      </c>
      <c r="L52">
        <v>1191</v>
      </c>
      <c r="N52">
        <v>1013</v>
      </c>
      <c r="O52" t="s">
        <v>310</v>
      </c>
      <c r="P52" t="s">
        <v>310</v>
      </c>
      <c r="Q52">
        <v>1</v>
      </c>
      <c r="W52">
        <v>0</v>
      </c>
      <c r="X52">
        <v>476480486</v>
      </c>
      <c r="Y52">
        <v>1.38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1.38</v>
      </c>
      <c r="AU52" t="s">
        <v>3</v>
      </c>
      <c r="AV52">
        <v>1</v>
      </c>
      <c r="AW52">
        <v>2</v>
      </c>
      <c r="AX52">
        <v>309316481</v>
      </c>
      <c r="AY52">
        <v>1</v>
      </c>
      <c r="AZ52">
        <v>0</v>
      </c>
      <c r="BA52">
        <v>50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Y52*Source!I166</f>
        <v>0.61754999999999993</v>
      </c>
      <c r="CY52">
        <f>AD52</f>
        <v>0</v>
      </c>
      <c r="CZ52">
        <f>AH52</f>
        <v>0</v>
      </c>
      <c r="DA52">
        <f>AL52</f>
        <v>1</v>
      </c>
      <c r="DB52">
        <f>ROUND(ROUND(AT52*CZ52,2),6)</f>
        <v>0</v>
      </c>
      <c r="DC52">
        <f>ROUND(ROUND(AT52*AG52,2),6)</f>
        <v>0</v>
      </c>
    </row>
    <row r="53" spans="1:107" x14ac:dyDescent="0.2">
      <c r="A53">
        <f>ROW(Source!A166)</f>
        <v>166</v>
      </c>
      <c r="B53">
        <v>309315610</v>
      </c>
      <c r="C53">
        <v>309316477</v>
      </c>
      <c r="D53">
        <v>89511139</v>
      </c>
      <c r="E53">
        <v>1</v>
      </c>
      <c r="F53">
        <v>1</v>
      </c>
      <c r="G53">
        <v>89440001</v>
      </c>
      <c r="H53">
        <v>2</v>
      </c>
      <c r="I53" t="s">
        <v>311</v>
      </c>
      <c r="J53" t="s">
        <v>312</v>
      </c>
      <c r="K53" t="s">
        <v>313</v>
      </c>
      <c r="L53">
        <v>1367</v>
      </c>
      <c r="N53">
        <v>1011</v>
      </c>
      <c r="O53" t="s">
        <v>314</v>
      </c>
      <c r="P53" t="s">
        <v>314</v>
      </c>
      <c r="Q53">
        <v>1</v>
      </c>
      <c r="W53">
        <v>0</v>
      </c>
      <c r="X53">
        <v>781556702</v>
      </c>
      <c r="Y53">
        <v>3.9874999999999998</v>
      </c>
      <c r="AA53">
        <v>0</v>
      </c>
      <c r="AB53">
        <v>1749.97</v>
      </c>
      <c r="AC53">
        <v>730.57</v>
      </c>
      <c r="AD53">
        <v>0</v>
      </c>
      <c r="AE53">
        <v>0</v>
      </c>
      <c r="AF53">
        <v>162.4</v>
      </c>
      <c r="AG53">
        <v>28.6</v>
      </c>
      <c r="AH53">
        <v>0</v>
      </c>
      <c r="AI53">
        <v>1</v>
      </c>
      <c r="AJ53">
        <v>9.0399999999999991</v>
      </c>
      <c r="AK53">
        <v>21.43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3.9874999999999998</v>
      </c>
      <c r="AU53" t="s">
        <v>3</v>
      </c>
      <c r="AV53">
        <v>0</v>
      </c>
      <c r="AW53">
        <v>2</v>
      </c>
      <c r="AX53">
        <v>309316483</v>
      </c>
      <c r="AY53">
        <v>1</v>
      </c>
      <c r="AZ53">
        <v>0</v>
      </c>
      <c r="BA53">
        <v>51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Y53*Source!I166</f>
        <v>1.78440625</v>
      </c>
      <c r="CY53">
        <f>AB53</f>
        <v>1749.97</v>
      </c>
      <c r="CZ53">
        <f>AF53</f>
        <v>162.4</v>
      </c>
      <c r="DA53">
        <f>AJ53</f>
        <v>9.0399999999999991</v>
      </c>
      <c r="DB53">
        <f>ROUND(ROUND(AT53*CZ53,2),6)</f>
        <v>647.57000000000005</v>
      </c>
      <c r="DC53">
        <f>ROUND(ROUND(AT53*AG53,2),6)</f>
        <v>114.04</v>
      </c>
    </row>
    <row r="54" spans="1:107" x14ac:dyDescent="0.2">
      <c r="A54">
        <f>ROW(Source!A166)</f>
        <v>166</v>
      </c>
      <c r="B54">
        <v>309315610</v>
      </c>
      <c r="C54">
        <v>309316477</v>
      </c>
      <c r="D54">
        <v>89511164</v>
      </c>
      <c r="E54">
        <v>1</v>
      </c>
      <c r="F54">
        <v>1</v>
      </c>
      <c r="G54">
        <v>89440001</v>
      </c>
      <c r="H54">
        <v>2</v>
      </c>
      <c r="I54" t="s">
        <v>315</v>
      </c>
      <c r="J54" t="s">
        <v>316</v>
      </c>
      <c r="K54" t="s">
        <v>317</v>
      </c>
      <c r="L54">
        <v>1367</v>
      </c>
      <c r="N54">
        <v>1011</v>
      </c>
      <c r="O54" t="s">
        <v>314</v>
      </c>
      <c r="P54" t="s">
        <v>314</v>
      </c>
      <c r="Q54">
        <v>1</v>
      </c>
      <c r="W54">
        <v>0</v>
      </c>
      <c r="X54">
        <v>695902881</v>
      </c>
      <c r="Y54">
        <v>0.997</v>
      </c>
      <c r="AA54">
        <v>0</v>
      </c>
      <c r="AB54">
        <v>1100.57</v>
      </c>
      <c r="AC54">
        <v>677.44</v>
      </c>
      <c r="AD54">
        <v>0</v>
      </c>
      <c r="AE54">
        <v>0</v>
      </c>
      <c r="AF54">
        <v>110.31</v>
      </c>
      <c r="AG54">
        <v>26.52</v>
      </c>
      <c r="AH54">
        <v>0</v>
      </c>
      <c r="AI54">
        <v>1</v>
      </c>
      <c r="AJ54">
        <v>8.3699999999999992</v>
      </c>
      <c r="AK54">
        <v>21.43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0.997</v>
      </c>
      <c r="AU54" t="s">
        <v>3</v>
      </c>
      <c r="AV54">
        <v>0</v>
      </c>
      <c r="AW54">
        <v>2</v>
      </c>
      <c r="AX54">
        <v>309316484</v>
      </c>
      <c r="AY54">
        <v>1</v>
      </c>
      <c r="AZ54">
        <v>0</v>
      </c>
      <c r="BA54">
        <v>52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Y54*Source!I166</f>
        <v>0.44615749999999998</v>
      </c>
      <c r="CY54">
        <f>AB54</f>
        <v>1100.57</v>
      </c>
      <c r="CZ54">
        <f>AF54</f>
        <v>110.31</v>
      </c>
      <c r="DA54">
        <f>AJ54</f>
        <v>8.3699999999999992</v>
      </c>
      <c r="DB54">
        <f>ROUND(ROUND(AT54*CZ54,2),6)</f>
        <v>109.98</v>
      </c>
      <c r="DC54">
        <f>ROUND(ROUND(AT54*AG54,2),6)</f>
        <v>26.44</v>
      </c>
    </row>
    <row r="55" spans="1:107" x14ac:dyDescent="0.2">
      <c r="A55">
        <f>ROW(Source!A167)</f>
        <v>167</v>
      </c>
      <c r="B55">
        <v>309315610</v>
      </c>
      <c r="C55">
        <v>309316485</v>
      </c>
      <c r="D55">
        <v>89440730</v>
      </c>
      <c r="E55">
        <v>89440001</v>
      </c>
      <c r="F55">
        <v>1</v>
      </c>
      <c r="G55">
        <v>89440001</v>
      </c>
      <c r="H55">
        <v>2</v>
      </c>
      <c r="I55" t="s">
        <v>305</v>
      </c>
      <c r="J55" t="s">
        <v>3</v>
      </c>
      <c r="K55" t="s">
        <v>306</v>
      </c>
      <c r="L55">
        <v>1344</v>
      </c>
      <c r="N55">
        <v>1008</v>
      </c>
      <c r="O55" t="s">
        <v>307</v>
      </c>
      <c r="P55" t="s">
        <v>307</v>
      </c>
      <c r="Q55">
        <v>1</v>
      </c>
      <c r="W55">
        <v>0</v>
      </c>
      <c r="X55">
        <v>-1180195794</v>
      </c>
      <c r="Y55">
        <v>45.37</v>
      </c>
      <c r="AA55">
        <v>0</v>
      </c>
      <c r="AB55">
        <v>1</v>
      </c>
      <c r="AC55">
        <v>0</v>
      </c>
      <c r="AD55">
        <v>0</v>
      </c>
      <c r="AE55">
        <v>0</v>
      </c>
      <c r="AF55">
        <v>1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45.37</v>
      </c>
      <c r="AU55" t="s">
        <v>3</v>
      </c>
      <c r="AV55">
        <v>0</v>
      </c>
      <c r="AW55">
        <v>2</v>
      </c>
      <c r="AX55">
        <v>309555632</v>
      </c>
      <c r="AY55">
        <v>1</v>
      </c>
      <c r="AZ55">
        <v>6144</v>
      </c>
      <c r="BA55">
        <v>53</v>
      </c>
      <c r="BB55">
        <v>2</v>
      </c>
      <c r="BC55">
        <v>0</v>
      </c>
      <c r="BD55">
        <v>-28.410000000000004</v>
      </c>
      <c r="BE55">
        <v>0</v>
      </c>
      <c r="BF55">
        <v>0</v>
      </c>
      <c r="BG55">
        <v>0</v>
      </c>
      <c r="BH55">
        <v>0</v>
      </c>
      <c r="BI55">
        <v>1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Y55*Source!I167</f>
        <v>2030.3074999999999</v>
      </c>
      <c r="CY55">
        <f>AB55</f>
        <v>1</v>
      </c>
      <c r="CZ55">
        <f>AF55</f>
        <v>1</v>
      </c>
      <c r="DA55">
        <f>AJ55</f>
        <v>1</v>
      </c>
      <c r="DB55">
        <f>ROUND(ROUND(AT55*CZ55,2),6)</f>
        <v>45.37</v>
      </c>
      <c r="DC55">
        <f>ROUND(ROUND(AT55*AG55,2),6)</f>
        <v>0</v>
      </c>
    </row>
    <row r="56" spans="1:107" x14ac:dyDescent="0.2">
      <c r="A56">
        <f>ROW(Source!A168)</f>
        <v>168</v>
      </c>
      <c r="B56">
        <v>309315610</v>
      </c>
      <c r="C56">
        <v>309316493</v>
      </c>
      <c r="D56">
        <v>89440730</v>
      </c>
      <c r="E56">
        <v>89440001</v>
      </c>
      <c r="F56">
        <v>1</v>
      </c>
      <c r="G56">
        <v>89440001</v>
      </c>
      <c r="H56">
        <v>2</v>
      </c>
      <c r="I56" t="s">
        <v>305</v>
      </c>
      <c r="J56" t="s">
        <v>3</v>
      </c>
      <c r="K56" t="s">
        <v>306</v>
      </c>
      <c r="L56">
        <v>1344</v>
      </c>
      <c r="N56">
        <v>1008</v>
      </c>
      <c r="O56" t="s">
        <v>307</v>
      </c>
      <c r="P56" t="s">
        <v>307</v>
      </c>
      <c r="Q56">
        <v>1</v>
      </c>
      <c r="W56">
        <v>0</v>
      </c>
      <c r="X56">
        <v>-1180195794</v>
      </c>
      <c r="Y56">
        <v>43.28</v>
      </c>
      <c r="AA56">
        <v>0</v>
      </c>
      <c r="AB56">
        <v>1</v>
      </c>
      <c r="AC56">
        <v>0</v>
      </c>
      <c r="AD56">
        <v>0</v>
      </c>
      <c r="AE56">
        <v>0</v>
      </c>
      <c r="AF56">
        <v>1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43.28</v>
      </c>
      <c r="AU56" t="s">
        <v>3</v>
      </c>
      <c r="AV56">
        <v>0</v>
      </c>
      <c r="AW56">
        <v>2</v>
      </c>
      <c r="AX56">
        <v>309316498</v>
      </c>
      <c r="AY56">
        <v>1</v>
      </c>
      <c r="AZ56">
        <v>0</v>
      </c>
      <c r="BA56">
        <v>54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Y56*Source!I168</f>
        <v>3486.2040000000002</v>
      </c>
      <c r="CY56">
        <f>AB56</f>
        <v>1</v>
      </c>
      <c r="CZ56">
        <f>AF56</f>
        <v>1</v>
      </c>
      <c r="DA56">
        <f>AJ56</f>
        <v>1</v>
      </c>
      <c r="DB56">
        <f>ROUND(ROUND(AT56*CZ56,2),6)</f>
        <v>43.28</v>
      </c>
      <c r="DC56">
        <f>ROUND(ROUND(AT56*AG56,2),6)</f>
        <v>0</v>
      </c>
    </row>
    <row r="57" spans="1:107" x14ac:dyDescent="0.2">
      <c r="A57">
        <f>ROW(Source!A203)</f>
        <v>203</v>
      </c>
      <c r="B57">
        <v>309315610</v>
      </c>
      <c r="C57">
        <v>309316510</v>
      </c>
      <c r="D57">
        <v>89440730</v>
      </c>
      <c r="E57">
        <v>89440001</v>
      </c>
      <c r="F57">
        <v>1</v>
      </c>
      <c r="G57">
        <v>89440001</v>
      </c>
      <c r="H57">
        <v>2</v>
      </c>
      <c r="I57" t="s">
        <v>305</v>
      </c>
      <c r="J57" t="s">
        <v>3</v>
      </c>
      <c r="K57" t="s">
        <v>306</v>
      </c>
      <c r="L57">
        <v>1344</v>
      </c>
      <c r="N57">
        <v>1008</v>
      </c>
      <c r="O57" t="s">
        <v>307</v>
      </c>
      <c r="P57" t="s">
        <v>307</v>
      </c>
      <c r="Q57">
        <v>1</v>
      </c>
      <c r="W57">
        <v>0</v>
      </c>
      <c r="X57">
        <v>-1180195794</v>
      </c>
      <c r="Y57">
        <v>119.6</v>
      </c>
      <c r="AA57">
        <v>0</v>
      </c>
      <c r="AB57">
        <v>1</v>
      </c>
      <c r="AC57">
        <v>0</v>
      </c>
      <c r="AD57">
        <v>0</v>
      </c>
      <c r="AE57">
        <v>0</v>
      </c>
      <c r="AF57">
        <v>1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104</v>
      </c>
      <c r="AU57" t="s">
        <v>39</v>
      </c>
      <c r="AV57">
        <v>0</v>
      </c>
      <c r="AW57">
        <v>2</v>
      </c>
      <c r="AX57">
        <v>309558003</v>
      </c>
      <c r="AY57">
        <v>1</v>
      </c>
      <c r="AZ57">
        <v>6144</v>
      </c>
      <c r="BA57">
        <v>55</v>
      </c>
      <c r="BB57">
        <v>2</v>
      </c>
      <c r="BC57">
        <v>0</v>
      </c>
      <c r="BD57">
        <v>-8.0499999999999972</v>
      </c>
      <c r="BE57">
        <v>0</v>
      </c>
      <c r="BF57">
        <v>0</v>
      </c>
      <c r="BG57">
        <v>0</v>
      </c>
      <c r="BH57">
        <v>0</v>
      </c>
      <c r="BI57">
        <v>1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Y57*Source!I203</f>
        <v>5980</v>
      </c>
      <c r="CY57">
        <f>AB57</f>
        <v>1</v>
      </c>
      <c r="CZ57">
        <f>AF57</f>
        <v>1</v>
      </c>
      <c r="DA57">
        <f>AJ57</f>
        <v>1</v>
      </c>
      <c r="DB57">
        <f>ROUND((ROUND(AT57*CZ57,2)*1.15),6)</f>
        <v>119.6</v>
      </c>
      <c r="DC57">
        <f>ROUND((ROUND(AT57*AG57,2)*1.15),6)</f>
        <v>0</v>
      </c>
    </row>
    <row r="58" spans="1:107" x14ac:dyDescent="0.2">
      <c r="A58">
        <f>ROW(Source!A204)</f>
        <v>204</v>
      </c>
      <c r="B58">
        <v>309315610</v>
      </c>
      <c r="C58">
        <v>309316514</v>
      </c>
      <c r="D58">
        <v>89440006</v>
      </c>
      <c r="E58">
        <v>89440001</v>
      </c>
      <c r="F58">
        <v>1</v>
      </c>
      <c r="G58">
        <v>89440001</v>
      </c>
      <c r="H58">
        <v>1</v>
      </c>
      <c r="I58" t="s">
        <v>308</v>
      </c>
      <c r="J58" t="s">
        <v>3</v>
      </c>
      <c r="K58" t="s">
        <v>309</v>
      </c>
      <c r="L58">
        <v>1191</v>
      </c>
      <c r="N58">
        <v>1013</v>
      </c>
      <c r="O58" t="s">
        <v>310</v>
      </c>
      <c r="P58" t="s">
        <v>310</v>
      </c>
      <c r="Q58">
        <v>1</v>
      </c>
      <c r="W58">
        <v>0</v>
      </c>
      <c r="X58">
        <v>476480486</v>
      </c>
      <c r="Y58">
        <v>696.9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1010</v>
      </c>
      <c r="AU58" t="s">
        <v>217</v>
      </c>
      <c r="AV58">
        <v>1</v>
      </c>
      <c r="AW58">
        <v>2</v>
      </c>
      <c r="AX58">
        <v>309558178</v>
      </c>
      <c r="AY58">
        <v>1</v>
      </c>
      <c r="AZ58">
        <v>6144</v>
      </c>
      <c r="BA58">
        <v>56</v>
      </c>
      <c r="BB58">
        <v>2</v>
      </c>
      <c r="BC58">
        <v>0</v>
      </c>
      <c r="BD58">
        <v>0</v>
      </c>
      <c r="BE58">
        <v>0</v>
      </c>
      <c r="BF58">
        <v>0</v>
      </c>
      <c r="BG58">
        <v>136.62</v>
      </c>
      <c r="BH58">
        <v>0</v>
      </c>
      <c r="BI58">
        <v>1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Y58*Source!I204</f>
        <v>69.69</v>
      </c>
      <c r="CY58">
        <f>AD58</f>
        <v>0</v>
      </c>
      <c r="CZ58">
        <f>AH58</f>
        <v>0</v>
      </c>
      <c r="DA58">
        <f>AL58</f>
        <v>1</v>
      </c>
      <c r="DB58">
        <f t="shared" ref="DB58:DB65" si="20">ROUND((ROUND(AT58*CZ58,2)*1.15*0.6),6)</f>
        <v>0</v>
      </c>
      <c r="DC58">
        <f t="shared" ref="DC58:DC65" si="21">ROUND((ROUND(AT58*AG58,2)*1.15*0.6),6)</f>
        <v>0</v>
      </c>
    </row>
    <row r="59" spans="1:107" x14ac:dyDescent="0.2">
      <c r="A59">
        <f>ROW(Source!A204)</f>
        <v>204</v>
      </c>
      <c r="B59">
        <v>309315610</v>
      </c>
      <c r="C59">
        <v>309316514</v>
      </c>
      <c r="D59">
        <v>89511607</v>
      </c>
      <c r="E59">
        <v>1</v>
      </c>
      <c r="F59">
        <v>1</v>
      </c>
      <c r="G59">
        <v>89440001</v>
      </c>
      <c r="H59">
        <v>2</v>
      </c>
      <c r="I59" t="s">
        <v>343</v>
      </c>
      <c r="J59" t="s">
        <v>344</v>
      </c>
      <c r="K59" t="s">
        <v>345</v>
      </c>
      <c r="L59">
        <v>1367</v>
      </c>
      <c r="N59">
        <v>1011</v>
      </c>
      <c r="O59" t="s">
        <v>314</v>
      </c>
      <c r="P59" t="s">
        <v>314</v>
      </c>
      <c r="Q59">
        <v>1</v>
      </c>
      <c r="W59">
        <v>0</v>
      </c>
      <c r="X59">
        <v>-1646177078</v>
      </c>
      <c r="Y59">
        <v>13.799999999999999</v>
      </c>
      <c r="AA59">
        <v>0</v>
      </c>
      <c r="AB59">
        <v>1021.74</v>
      </c>
      <c r="AC59">
        <v>429.42</v>
      </c>
      <c r="AD59">
        <v>0</v>
      </c>
      <c r="AE59">
        <v>0</v>
      </c>
      <c r="AF59">
        <v>105.81</v>
      </c>
      <c r="AG59">
        <v>18.78</v>
      </c>
      <c r="AH59">
        <v>0</v>
      </c>
      <c r="AI59">
        <v>1</v>
      </c>
      <c r="AJ59">
        <v>9.0500000000000007</v>
      </c>
      <c r="AK59">
        <v>21.43</v>
      </c>
      <c r="AL59">
        <v>1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20</v>
      </c>
      <c r="AU59" t="s">
        <v>217</v>
      </c>
      <c r="AV59">
        <v>0</v>
      </c>
      <c r="AW59">
        <v>2</v>
      </c>
      <c r="AX59">
        <v>309558179</v>
      </c>
      <c r="AY59">
        <v>1</v>
      </c>
      <c r="AZ59">
        <v>6144</v>
      </c>
      <c r="BA59">
        <v>57</v>
      </c>
      <c r="BB59">
        <v>2</v>
      </c>
      <c r="BC59">
        <v>0</v>
      </c>
      <c r="BD59">
        <v>182.52224999999999</v>
      </c>
      <c r="BE59">
        <v>32.395499999999998</v>
      </c>
      <c r="BF59">
        <v>0</v>
      </c>
      <c r="BG59">
        <v>0</v>
      </c>
      <c r="BH59">
        <v>0</v>
      </c>
      <c r="BI59">
        <v>1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Y59*Source!I204</f>
        <v>1.38</v>
      </c>
      <c r="CY59">
        <f t="shared" ref="CY59:CY65" si="22">AB59</f>
        <v>1021.74</v>
      </c>
      <c r="CZ59">
        <f t="shared" ref="CZ59:CZ65" si="23">AF59</f>
        <v>105.81</v>
      </c>
      <c r="DA59">
        <f t="shared" ref="DA59:DA65" si="24">AJ59</f>
        <v>9.0500000000000007</v>
      </c>
      <c r="DB59">
        <f t="shared" si="20"/>
        <v>1460.1780000000001</v>
      </c>
      <c r="DC59">
        <f t="shared" si="21"/>
        <v>259.16399999999999</v>
      </c>
    </row>
    <row r="60" spans="1:107" x14ac:dyDescent="0.2">
      <c r="A60">
        <f>ROW(Source!A204)</f>
        <v>204</v>
      </c>
      <c r="B60">
        <v>309315610</v>
      </c>
      <c r="C60">
        <v>309316514</v>
      </c>
      <c r="D60">
        <v>89511695</v>
      </c>
      <c r="E60">
        <v>1</v>
      </c>
      <c r="F60">
        <v>1</v>
      </c>
      <c r="G60">
        <v>89440001</v>
      </c>
      <c r="H60">
        <v>2</v>
      </c>
      <c r="I60" t="s">
        <v>346</v>
      </c>
      <c r="J60" t="s">
        <v>347</v>
      </c>
      <c r="K60" t="s">
        <v>348</v>
      </c>
      <c r="L60">
        <v>1367</v>
      </c>
      <c r="N60">
        <v>1011</v>
      </c>
      <c r="O60" t="s">
        <v>314</v>
      </c>
      <c r="P60" t="s">
        <v>314</v>
      </c>
      <c r="Q60">
        <v>1</v>
      </c>
      <c r="W60">
        <v>0</v>
      </c>
      <c r="X60">
        <v>1080115201</v>
      </c>
      <c r="Y60">
        <v>211.14</v>
      </c>
      <c r="AA60">
        <v>0</v>
      </c>
      <c r="AB60">
        <v>386.45</v>
      </c>
      <c r="AC60">
        <v>60.14</v>
      </c>
      <c r="AD60">
        <v>0</v>
      </c>
      <c r="AE60">
        <v>0</v>
      </c>
      <c r="AF60">
        <v>36.770000000000003</v>
      </c>
      <c r="AG60">
        <v>2.63</v>
      </c>
      <c r="AH60">
        <v>0</v>
      </c>
      <c r="AI60">
        <v>1</v>
      </c>
      <c r="AJ60">
        <v>9.85</v>
      </c>
      <c r="AK60">
        <v>21.43</v>
      </c>
      <c r="AL60">
        <v>1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306</v>
      </c>
      <c r="AU60" t="s">
        <v>217</v>
      </c>
      <c r="AV60">
        <v>0</v>
      </c>
      <c r="AW60">
        <v>2</v>
      </c>
      <c r="AX60">
        <v>309558181</v>
      </c>
      <c r="AY60">
        <v>1</v>
      </c>
      <c r="AZ60">
        <v>6144</v>
      </c>
      <c r="BA60">
        <v>59</v>
      </c>
      <c r="BB60">
        <v>2</v>
      </c>
      <c r="BC60">
        <v>0</v>
      </c>
      <c r="BD60">
        <v>1167.0797999999995</v>
      </c>
      <c r="BE60">
        <v>83.476199999999949</v>
      </c>
      <c r="BF60">
        <v>0</v>
      </c>
      <c r="BG60">
        <v>0</v>
      </c>
      <c r="BH60">
        <v>0</v>
      </c>
      <c r="BI60">
        <v>1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Y60*Source!I204</f>
        <v>21.114000000000001</v>
      </c>
      <c r="CY60">
        <f t="shared" si="22"/>
        <v>386.45</v>
      </c>
      <c r="CZ60">
        <f t="shared" si="23"/>
        <v>36.770000000000003</v>
      </c>
      <c r="DA60">
        <f t="shared" si="24"/>
        <v>9.85</v>
      </c>
      <c r="DB60">
        <f t="shared" si="20"/>
        <v>7763.6178</v>
      </c>
      <c r="DC60">
        <f t="shared" si="21"/>
        <v>555.29819999999995</v>
      </c>
    </row>
    <row r="61" spans="1:107" x14ac:dyDescent="0.2">
      <c r="A61">
        <f>ROW(Source!A204)</f>
        <v>204</v>
      </c>
      <c r="B61">
        <v>309315610</v>
      </c>
      <c r="C61">
        <v>309316514</v>
      </c>
      <c r="D61">
        <v>89511820</v>
      </c>
      <c r="E61">
        <v>1</v>
      </c>
      <c r="F61">
        <v>1</v>
      </c>
      <c r="G61">
        <v>89440001</v>
      </c>
      <c r="H61">
        <v>2</v>
      </c>
      <c r="I61" t="s">
        <v>349</v>
      </c>
      <c r="J61" t="s">
        <v>350</v>
      </c>
      <c r="K61" t="s">
        <v>351</v>
      </c>
      <c r="L61">
        <v>1367</v>
      </c>
      <c r="N61">
        <v>1011</v>
      </c>
      <c r="O61" t="s">
        <v>314</v>
      </c>
      <c r="P61" t="s">
        <v>314</v>
      </c>
      <c r="Q61">
        <v>1</v>
      </c>
      <c r="W61">
        <v>0</v>
      </c>
      <c r="X61">
        <v>1341813636</v>
      </c>
      <c r="Y61">
        <v>27.461999999999996</v>
      </c>
      <c r="AA61">
        <v>0</v>
      </c>
      <c r="AB61">
        <v>1214.92</v>
      </c>
      <c r="AC61">
        <v>507.39</v>
      </c>
      <c r="AD61">
        <v>0</v>
      </c>
      <c r="AE61">
        <v>0</v>
      </c>
      <c r="AF61">
        <v>136.19999999999999</v>
      </c>
      <c r="AG61">
        <v>22.19</v>
      </c>
      <c r="AH61">
        <v>0</v>
      </c>
      <c r="AI61">
        <v>1</v>
      </c>
      <c r="AJ61">
        <v>8.36</v>
      </c>
      <c r="AK61">
        <v>21.43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39.799999999999997</v>
      </c>
      <c r="AU61" t="s">
        <v>217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3</v>
      </c>
      <c r="BB61">
        <v>5</v>
      </c>
      <c r="BC61">
        <v>0</v>
      </c>
      <c r="BD61">
        <v>3740.3243999999991</v>
      </c>
      <c r="BE61">
        <v>609.38177999999994</v>
      </c>
      <c r="BF61">
        <v>0</v>
      </c>
      <c r="BG61">
        <v>0</v>
      </c>
      <c r="BH61">
        <v>0</v>
      </c>
      <c r="BI61">
        <v>1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Y61*Source!I204</f>
        <v>2.7462</v>
      </c>
      <c r="CY61">
        <f t="shared" si="22"/>
        <v>1214.92</v>
      </c>
      <c r="CZ61">
        <f t="shared" si="23"/>
        <v>136.19999999999999</v>
      </c>
      <c r="DA61">
        <f t="shared" si="24"/>
        <v>8.36</v>
      </c>
      <c r="DB61">
        <f t="shared" si="20"/>
        <v>3740.3244</v>
      </c>
      <c r="DC61">
        <f t="shared" si="21"/>
        <v>609.38040000000001</v>
      </c>
    </row>
    <row r="62" spans="1:107" x14ac:dyDescent="0.2">
      <c r="A62">
        <f>ROW(Source!A204)</f>
        <v>204</v>
      </c>
      <c r="B62">
        <v>309315610</v>
      </c>
      <c r="C62">
        <v>309316514</v>
      </c>
      <c r="D62">
        <v>89511984</v>
      </c>
      <c r="E62">
        <v>1</v>
      </c>
      <c r="F62">
        <v>1</v>
      </c>
      <c r="G62">
        <v>89440001</v>
      </c>
      <c r="H62">
        <v>2</v>
      </c>
      <c r="I62" t="s">
        <v>327</v>
      </c>
      <c r="J62" t="s">
        <v>328</v>
      </c>
      <c r="K62" t="s">
        <v>329</v>
      </c>
      <c r="L62">
        <v>1367</v>
      </c>
      <c r="N62">
        <v>1011</v>
      </c>
      <c r="O62" t="s">
        <v>314</v>
      </c>
      <c r="P62" t="s">
        <v>314</v>
      </c>
      <c r="Q62">
        <v>1</v>
      </c>
      <c r="W62">
        <v>0</v>
      </c>
      <c r="X62">
        <v>-628430174</v>
      </c>
      <c r="Y62">
        <v>0.70379999999999987</v>
      </c>
      <c r="AA62">
        <v>0</v>
      </c>
      <c r="AB62">
        <v>693.35</v>
      </c>
      <c r="AC62">
        <v>328.35</v>
      </c>
      <c r="AD62">
        <v>0</v>
      </c>
      <c r="AE62">
        <v>0</v>
      </c>
      <c r="AF62">
        <v>76.81</v>
      </c>
      <c r="AG62">
        <v>14.36</v>
      </c>
      <c r="AH62">
        <v>0</v>
      </c>
      <c r="AI62">
        <v>1</v>
      </c>
      <c r="AJ62">
        <v>8.4600000000000009</v>
      </c>
      <c r="AK62">
        <v>21.43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1.02</v>
      </c>
      <c r="AU62" t="s">
        <v>217</v>
      </c>
      <c r="AV62">
        <v>0</v>
      </c>
      <c r="AW62">
        <v>2</v>
      </c>
      <c r="AX62">
        <v>309558182</v>
      </c>
      <c r="AY62">
        <v>1</v>
      </c>
      <c r="AZ62">
        <v>6144</v>
      </c>
      <c r="BA62">
        <v>60</v>
      </c>
      <c r="BB62">
        <v>2</v>
      </c>
      <c r="BC62">
        <v>0</v>
      </c>
      <c r="BD62">
        <v>27.559427999999993</v>
      </c>
      <c r="BE62">
        <v>5.1523679999999983</v>
      </c>
      <c r="BF62">
        <v>0</v>
      </c>
      <c r="BG62">
        <v>0</v>
      </c>
      <c r="BH62">
        <v>0</v>
      </c>
      <c r="BI62">
        <v>1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Y62*Source!I204</f>
        <v>7.0379999999999984E-2</v>
      </c>
      <c r="CY62">
        <f t="shared" si="22"/>
        <v>693.35</v>
      </c>
      <c r="CZ62">
        <f t="shared" si="23"/>
        <v>76.81</v>
      </c>
      <c r="DA62">
        <f t="shared" si="24"/>
        <v>8.4600000000000009</v>
      </c>
      <c r="DB62">
        <f t="shared" si="20"/>
        <v>54.061500000000002</v>
      </c>
      <c r="DC62">
        <f t="shared" si="21"/>
        <v>10.108499999999999</v>
      </c>
    </row>
    <row r="63" spans="1:107" x14ac:dyDescent="0.2">
      <c r="A63">
        <f>ROW(Source!A204)</f>
        <v>204</v>
      </c>
      <c r="B63">
        <v>309315610</v>
      </c>
      <c r="C63">
        <v>309316514</v>
      </c>
      <c r="D63">
        <v>89512030</v>
      </c>
      <c r="E63">
        <v>1</v>
      </c>
      <c r="F63">
        <v>1</v>
      </c>
      <c r="G63">
        <v>89440001</v>
      </c>
      <c r="H63">
        <v>2</v>
      </c>
      <c r="I63" t="s">
        <v>352</v>
      </c>
      <c r="J63" t="s">
        <v>353</v>
      </c>
      <c r="K63" t="s">
        <v>354</v>
      </c>
      <c r="L63">
        <v>1367</v>
      </c>
      <c r="N63">
        <v>1011</v>
      </c>
      <c r="O63" t="s">
        <v>314</v>
      </c>
      <c r="P63" t="s">
        <v>314</v>
      </c>
      <c r="Q63">
        <v>1</v>
      </c>
      <c r="W63">
        <v>0</v>
      </c>
      <c r="X63">
        <v>-875577540</v>
      </c>
      <c r="Y63">
        <v>45.539999999999992</v>
      </c>
      <c r="AA63">
        <v>0</v>
      </c>
      <c r="AB63">
        <v>5.4</v>
      </c>
      <c r="AC63">
        <v>0.91</v>
      </c>
      <c r="AD63">
        <v>0</v>
      </c>
      <c r="AE63">
        <v>0</v>
      </c>
      <c r="AF63">
        <v>0.68</v>
      </c>
      <c r="AG63">
        <v>0.04</v>
      </c>
      <c r="AH63">
        <v>0</v>
      </c>
      <c r="AI63">
        <v>1</v>
      </c>
      <c r="AJ63">
        <v>7.44</v>
      </c>
      <c r="AK63">
        <v>21.43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66</v>
      </c>
      <c r="AU63" t="s">
        <v>217</v>
      </c>
      <c r="AV63">
        <v>0</v>
      </c>
      <c r="AW63">
        <v>2</v>
      </c>
      <c r="AX63">
        <v>309558184</v>
      </c>
      <c r="AY63">
        <v>1</v>
      </c>
      <c r="AZ63">
        <v>6144</v>
      </c>
      <c r="BA63">
        <v>61</v>
      </c>
      <c r="BB63">
        <v>2</v>
      </c>
      <c r="BC63">
        <v>0</v>
      </c>
      <c r="BD63">
        <v>7.7418000000000013</v>
      </c>
      <c r="BE63">
        <v>0.4553999999999998</v>
      </c>
      <c r="BF63">
        <v>0</v>
      </c>
      <c r="BG63">
        <v>0</v>
      </c>
      <c r="BH63">
        <v>0</v>
      </c>
      <c r="BI63">
        <v>1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Y63*Source!I204</f>
        <v>4.5539999999999994</v>
      </c>
      <c r="CY63">
        <f t="shared" si="22"/>
        <v>5.4</v>
      </c>
      <c r="CZ63">
        <f t="shared" si="23"/>
        <v>0.68</v>
      </c>
      <c r="DA63">
        <f t="shared" si="24"/>
        <v>7.44</v>
      </c>
      <c r="DB63">
        <f t="shared" si="20"/>
        <v>30.967199999999998</v>
      </c>
      <c r="DC63">
        <f t="shared" si="21"/>
        <v>1.8216000000000001</v>
      </c>
    </row>
    <row r="64" spans="1:107" x14ac:dyDescent="0.2">
      <c r="A64">
        <f>ROW(Source!A204)</f>
        <v>204</v>
      </c>
      <c r="B64">
        <v>309315610</v>
      </c>
      <c r="C64">
        <v>309316514</v>
      </c>
      <c r="D64">
        <v>89512056</v>
      </c>
      <c r="E64">
        <v>1</v>
      </c>
      <c r="F64">
        <v>1</v>
      </c>
      <c r="G64">
        <v>89440001</v>
      </c>
      <c r="H64">
        <v>2</v>
      </c>
      <c r="I64" t="s">
        <v>355</v>
      </c>
      <c r="J64" t="s">
        <v>356</v>
      </c>
      <c r="K64" t="s">
        <v>357</v>
      </c>
      <c r="L64">
        <v>1367</v>
      </c>
      <c r="N64">
        <v>1011</v>
      </c>
      <c r="O64" t="s">
        <v>314</v>
      </c>
      <c r="P64" t="s">
        <v>314</v>
      </c>
      <c r="Q64">
        <v>1</v>
      </c>
      <c r="W64">
        <v>0</v>
      </c>
      <c r="X64">
        <v>-840546339</v>
      </c>
      <c r="Y64">
        <v>6.8999999999999995</v>
      </c>
      <c r="AA64">
        <v>0</v>
      </c>
      <c r="AB64">
        <v>27.91</v>
      </c>
      <c r="AC64">
        <v>0.91</v>
      </c>
      <c r="AD64">
        <v>0</v>
      </c>
      <c r="AE64">
        <v>0</v>
      </c>
      <c r="AF64">
        <v>2.58</v>
      </c>
      <c r="AG64">
        <v>0.04</v>
      </c>
      <c r="AH64">
        <v>0</v>
      </c>
      <c r="AI64">
        <v>1</v>
      </c>
      <c r="AJ64">
        <v>10.14</v>
      </c>
      <c r="AK64">
        <v>21.43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10</v>
      </c>
      <c r="AU64" t="s">
        <v>217</v>
      </c>
      <c r="AV64">
        <v>0</v>
      </c>
      <c r="AW64">
        <v>1</v>
      </c>
      <c r="AX64">
        <v>-1</v>
      </c>
      <c r="AY64">
        <v>0</v>
      </c>
      <c r="AZ64">
        <v>0</v>
      </c>
      <c r="BA64" t="s">
        <v>3</v>
      </c>
      <c r="BB64">
        <v>5</v>
      </c>
      <c r="BC64">
        <v>0</v>
      </c>
      <c r="BD64">
        <v>17.802</v>
      </c>
      <c r="BE64">
        <v>0.27599999999999997</v>
      </c>
      <c r="BF64">
        <v>0</v>
      </c>
      <c r="BG64">
        <v>0</v>
      </c>
      <c r="BH64">
        <v>0</v>
      </c>
      <c r="BI64">
        <v>1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Y64*Source!I204</f>
        <v>0.69</v>
      </c>
      <c r="CY64">
        <f t="shared" si="22"/>
        <v>27.91</v>
      </c>
      <c r="CZ64">
        <f t="shared" si="23"/>
        <v>2.58</v>
      </c>
      <c r="DA64">
        <f t="shared" si="24"/>
        <v>10.14</v>
      </c>
      <c r="DB64">
        <f t="shared" si="20"/>
        <v>17.802</v>
      </c>
      <c r="DC64">
        <f t="shared" si="21"/>
        <v>0.27600000000000002</v>
      </c>
    </row>
    <row r="65" spans="1:107" x14ac:dyDescent="0.2">
      <c r="A65">
        <f>ROW(Source!A204)</f>
        <v>204</v>
      </c>
      <c r="B65">
        <v>309315610</v>
      </c>
      <c r="C65">
        <v>309316514</v>
      </c>
      <c r="D65">
        <v>89511231</v>
      </c>
      <c r="E65">
        <v>1</v>
      </c>
      <c r="F65">
        <v>1</v>
      </c>
      <c r="G65">
        <v>89440001</v>
      </c>
      <c r="H65">
        <v>2</v>
      </c>
      <c r="I65" t="s">
        <v>358</v>
      </c>
      <c r="J65" t="s">
        <v>359</v>
      </c>
      <c r="K65" t="s">
        <v>360</v>
      </c>
      <c r="L65">
        <v>1367</v>
      </c>
      <c r="N65">
        <v>1011</v>
      </c>
      <c r="O65" t="s">
        <v>314</v>
      </c>
      <c r="P65" t="s">
        <v>314</v>
      </c>
      <c r="Q65">
        <v>1</v>
      </c>
      <c r="W65">
        <v>0</v>
      </c>
      <c r="X65">
        <v>-1461286799</v>
      </c>
      <c r="Y65">
        <v>74.52</v>
      </c>
      <c r="AA65">
        <v>0</v>
      </c>
      <c r="AB65">
        <v>1267.2</v>
      </c>
      <c r="AC65">
        <v>695.35</v>
      </c>
      <c r="AD65">
        <v>0</v>
      </c>
      <c r="AE65">
        <v>0</v>
      </c>
      <c r="AF65">
        <v>123.84</v>
      </c>
      <c r="AG65">
        <v>30.41</v>
      </c>
      <c r="AH65">
        <v>0</v>
      </c>
      <c r="AI65">
        <v>1</v>
      </c>
      <c r="AJ65">
        <v>9.59</v>
      </c>
      <c r="AK65">
        <v>21.43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108</v>
      </c>
      <c r="AU65" t="s">
        <v>217</v>
      </c>
      <c r="AV65">
        <v>0</v>
      </c>
      <c r="AW65">
        <v>2</v>
      </c>
      <c r="AX65">
        <v>309558183</v>
      </c>
      <c r="AY65">
        <v>1</v>
      </c>
      <c r="AZ65">
        <v>6144</v>
      </c>
      <c r="BA65">
        <v>62</v>
      </c>
      <c r="BB65">
        <v>2</v>
      </c>
      <c r="BC65">
        <v>0</v>
      </c>
      <c r="BD65">
        <v>3358.1692800000001</v>
      </c>
      <c r="BE65">
        <v>824.62796999999978</v>
      </c>
      <c r="BF65">
        <v>0</v>
      </c>
      <c r="BG65">
        <v>0</v>
      </c>
      <c r="BH65">
        <v>0</v>
      </c>
      <c r="BI65">
        <v>1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Y65*Source!I204</f>
        <v>7.452</v>
      </c>
      <c r="CY65">
        <f t="shared" si="22"/>
        <v>1267.2</v>
      </c>
      <c r="CZ65">
        <f t="shared" si="23"/>
        <v>123.84</v>
      </c>
      <c r="DA65">
        <f t="shared" si="24"/>
        <v>9.59</v>
      </c>
      <c r="DB65">
        <f t="shared" si="20"/>
        <v>9228.5568000000003</v>
      </c>
      <c r="DC65">
        <f t="shared" si="21"/>
        <v>2266.1532000000002</v>
      </c>
    </row>
    <row r="66" spans="1:107" x14ac:dyDescent="0.2">
      <c r="A66">
        <f>ROW(Source!A204)</f>
        <v>204</v>
      </c>
      <c r="B66">
        <v>309315610</v>
      </c>
      <c r="C66">
        <v>309316514</v>
      </c>
      <c r="D66">
        <v>89487091</v>
      </c>
      <c r="E66">
        <v>1</v>
      </c>
      <c r="F66">
        <v>1</v>
      </c>
      <c r="G66">
        <v>89440001</v>
      </c>
      <c r="H66">
        <v>3</v>
      </c>
      <c r="I66" t="s">
        <v>361</v>
      </c>
      <c r="J66" t="s">
        <v>362</v>
      </c>
      <c r="K66" t="s">
        <v>363</v>
      </c>
      <c r="L66">
        <v>1339</v>
      </c>
      <c r="N66">
        <v>1007</v>
      </c>
      <c r="O66" t="s">
        <v>33</v>
      </c>
      <c r="P66" t="s">
        <v>33</v>
      </c>
      <c r="Q66">
        <v>1</v>
      </c>
      <c r="W66">
        <v>0</v>
      </c>
      <c r="X66">
        <v>-862991314</v>
      </c>
      <c r="Y66">
        <v>0</v>
      </c>
      <c r="AA66">
        <v>32.340000000000003</v>
      </c>
      <c r="AB66">
        <v>0</v>
      </c>
      <c r="AC66">
        <v>0</v>
      </c>
      <c r="AD66">
        <v>0</v>
      </c>
      <c r="AE66">
        <v>7.07</v>
      </c>
      <c r="AF66">
        <v>0</v>
      </c>
      <c r="AG66">
        <v>0</v>
      </c>
      <c r="AH66">
        <v>0</v>
      </c>
      <c r="AI66">
        <v>4.5599999999999996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666</v>
      </c>
      <c r="AU66" t="s">
        <v>216</v>
      </c>
      <c r="AV66">
        <v>0</v>
      </c>
      <c r="AW66">
        <v>2</v>
      </c>
      <c r="AX66">
        <v>309558186</v>
      </c>
      <c r="AY66">
        <v>1</v>
      </c>
      <c r="AZ66">
        <v>4096</v>
      </c>
      <c r="BA66">
        <v>64</v>
      </c>
      <c r="BB66">
        <v>2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Y66*Source!I204</f>
        <v>0</v>
      </c>
      <c r="CY66">
        <f t="shared" ref="CY66:CY74" si="25">AA66</f>
        <v>32.340000000000003</v>
      </c>
      <c r="CZ66">
        <f t="shared" ref="CZ66:CZ74" si="26">AE66</f>
        <v>7.07</v>
      </c>
      <c r="DA66">
        <f t="shared" ref="DA66:DA74" si="27">AI66</f>
        <v>4.5599999999999996</v>
      </c>
      <c r="DB66">
        <f t="shared" ref="DB66:DB72" si="28">ROUND((ROUND(AT66*CZ66,2)*0),6)</f>
        <v>0</v>
      </c>
      <c r="DC66">
        <f t="shared" ref="DC66:DC72" si="29">ROUND((ROUND(AT66*AG66,2)*0),6)</f>
        <v>0</v>
      </c>
    </row>
    <row r="67" spans="1:107" x14ac:dyDescent="0.2">
      <c r="A67">
        <f>ROW(Source!A204)</f>
        <v>204</v>
      </c>
      <c r="B67">
        <v>309315610</v>
      </c>
      <c r="C67">
        <v>309316514</v>
      </c>
      <c r="D67">
        <v>89488403</v>
      </c>
      <c r="E67">
        <v>1</v>
      </c>
      <c r="F67">
        <v>1</v>
      </c>
      <c r="G67">
        <v>89440001</v>
      </c>
      <c r="H67">
        <v>3</v>
      </c>
      <c r="I67" t="s">
        <v>364</v>
      </c>
      <c r="J67" t="s">
        <v>365</v>
      </c>
      <c r="K67" t="s">
        <v>366</v>
      </c>
      <c r="L67">
        <v>1348</v>
      </c>
      <c r="N67">
        <v>1009</v>
      </c>
      <c r="O67" t="s">
        <v>29</v>
      </c>
      <c r="P67" t="s">
        <v>29</v>
      </c>
      <c r="Q67">
        <v>1000</v>
      </c>
      <c r="W67">
        <v>0</v>
      </c>
      <c r="X67">
        <v>1310716689</v>
      </c>
      <c r="Y67">
        <v>0</v>
      </c>
      <c r="AA67">
        <v>90383.72</v>
      </c>
      <c r="AB67">
        <v>0</v>
      </c>
      <c r="AC67">
        <v>0</v>
      </c>
      <c r="AD67">
        <v>0</v>
      </c>
      <c r="AE67">
        <v>7191.81</v>
      </c>
      <c r="AF67">
        <v>0</v>
      </c>
      <c r="AG67">
        <v>0</v>
      </c>
      <c r="AH67">
        <v>0</v>
      </c>
      <c r="AI67">
        <v>12.53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0.32500000000000001</v>
      </c>
      <c r="AU67" t="s">
        <v>216</v>
      </c>
      <c r="AV67">
        <v>0</v>
      </c>
      <c r="AW67">
        <v>2</v>
      </c>
      <c r="AX67">
        <v>309558187</v>
      </c>
      <c r="AY67">
        <v>1</v>
      </c>
      <c r="AZ67">
        <v>4096</v>
      </c>
      <c r="BA67">
        <v>65</v>
      </c>
      <c r="BB67">
        <v>2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Y67*Source!I204</f>
        <v>0</v>
      </c>
      <c r="CY67">
        <f t="shared" si="25"/>
        <v>90383.72</v>
      </c>
      <c r="CZ67">
        <f t="shared" si="26"/>
        <v>7191.81</v>
      </c>
      <c r="DA67">
        <f t="shared" si="27"/>
        <v>12.53</v>
      </c>
      <c r="DB67">
        <f t="shared" si="28"/>
        <v>0</v>
      </c>
      <c r="DC67">
        <f t="shared" si="29"/>
        <v>0</v>
      </c>
    </row>
    <row r="68" spans="1:107" x14ac:dyDescent="0.2">
      <c r="A68">
        <f>ROW(Source!A204)</f>
        <v>204</v>
      </c>
      <c r="B68">
        <v>309315610</v>
      </c>
      <c r="C68">
        <v>309316514</v>
      </c>
      <c r="D68">
        <v>89488436</v>
      </c>
      <c r="E68">
        <v>1</v>
      </c>
      <c r="F68">
        <v>1</v>
      </c>
      <c r="G68">
        <v>89440001</v>
      </c>
      <c r="H68">
        <v>3</v>
      </c>
      <c r="I68" t="s">
        <v>367</v>
      </c>
      <c r="J68" t="s">
        <v>368</v>
      </c>
      <c r="K68" t="s">
        <v>369</v>
      </c>
      <c r="L68">
        <v>1354</v>
      </c>
      <c r="N68">
        <v>16987630</v>
      </c>
      <c r="O68" t="s">
        <v>370</v>
      </c>
      <c r="P68" t="s">
        <v>370</v>
      </c>
      <c r="Q68">
        <v>1</v>
      </c>
      <c r="W68">
        <v>0</v>
      </c>
      <c r="X68">
        <v>1050115137</v>
      </c>
      <c r="Y68">
        <v>0</v>
      </c>
      <c r="AA68">
        <v>44.99</v>
      </c>
      <c r="AB68">
        <v>0</v>
      </c>
      <c r="AC68">
        <v>0</v>
      </c>
      <c r="AD68">
        <v>0</v>
      </c>
      <c r="AE68">
        <v>13.76</v>
      </c>
      <c r="AF68">
        <v>0</v>
      </c>
      <c r="AG68">
        <v>0</v>
      </c>
      <c r="AH68">
        <v>0</v>
      </c>
      <c r="AI68">
        <v>3.26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6.6</v>
      </c>
      <c r="AU68" t="s">
        <v>216</v>
      </c>
      <c r="AV68">
        <v>0</v>
      </c>
      <c r="AW68">
        <v>2</v>
      </c>
      <c r="AX68">
        <v>309558188</v>
      </c>
      <c r="AY68">
        <v>1</v>
      </c>
      <c r="AZ68">
        <v>4096</v>
      </c>
      <c r="BA68">
        <v>66</v>
      </c>
      <c r="BB68">
        <v>2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Y68*Source!I204</f>
        <v>0</v>
      </c>
      <c r="CY68">
        <f t="shared" si="25"/>
        <v>44.99</v>
      </c>
      <c r="CZ68">
        <f t="shared" si="26"/>
        <v>13.76</v>
      </c>
      <c r="DA68">
        <f t="shared" si="27"/>
        <v>3.26</v>
      </c>
      <c r="DB68">
        <f t="shared" si="28"/>
        <v>0</v>
      </c>
      <c r="DC68">
        <f t="shared" si="29"/>
        <v>0</v>
      </c>
    </row>
    <row r="69" spans="1:107" x14ac:dyDescent="0.2">
      <c r="A69">
        <f>ROW(Source!A204)</f>
        <v>204</v>
      </c>
      <c r="B69">
        <v>309315610</v>
      </c>
      <c r="C69">
        <v>309316514</v>
      </c>
      <c r="D69">
        <v>89487224</v>
      </c>
      <c r="E69">
        <v>1</v>
      </c>
      <c r="F69">
        <v>1</v>
      </c>
      <c r="G69">
        <v>89440001</v>
      </c>
      <c r="H69">
        <v>3</v>
      </c>
      <c r="I69" t="s">
        <v>371</v>
      </c>
      <c r="J69" t="s">
        <v>372</v>
      </c>
      <c r="K69" t="s">
        <v>373</v>
      </c>
      <c r="L69">
        <v>1348</v>
      </c>
      <c r="N69">
        <v>1009</v>
      </c>
      <c r="O69" t="s">
        <v>29</v>
      </c>
      <c r="P69" t="s">
        <v>29</v>
      </c>
      <c r="Q69">
        <v>1000</v>
      </c>
      <c r="W69">
        <v>0</v>
      </c>
      <c r="X69">
        <v>-1837888431</v>
      </c>
      <c r="Y69">
        <v>0</v>
      </c>
      <c r="AA69">
        <v>37510.15</v>
      </c>
      <c r="AB69">
        <v>0</v>
      </c>
      <c r="AC69">
        <v>0</v>
      </c>
      <c r="AD69">
        <v>0</v>
      </c>
      <c r="AE69">
        <v>3246.35</v>
      </c>
      <c r="AF69">
        <v>0</v>
      </c>
      <c r="AG69">
        <v>0</v>
      </c>
      <c r="AH69">
        <v>0</v>
      </c>
      <c r="AI69">
        <v>11.52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0.04</v>
      </c>
      <c r="AU69" t="s">
        <v>216</v>
      </c>
      <c r="AV69">
        <v>0</v>
      </c>
      <c r="AW69">
        <v>2</v>
      </c>
      <c r="AX69">
        <v>309558189</v>
      </c>
      <c r="AY69">
        <v>1</v>
      </c>
      <c r="AZ69">
        <v>4096</v>
      </c>
      <c r="BA69">
        <v>67</v>
      </c>
      <c r="BB69">
        <v>2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Y69*Source!I204</f>
        <v>0</v>
      </c>
      <c r="CY69">
        <f t="shared" si="25"/>
        <v>37510.15</v>
      </c>
      <c r="CZ69">
        <f t="shared" si="26"/>
        <v>3246.35</v>
      </c>
      <c r="DA69">
        <f t="shared" si="27"/>
        <v>11.52</v>
      </c>
      <c r="DB69">
        <f t="shared" si="28"/>
        <v>0</v>
      </c>
      <c r="DC69">
        <f t="shared" si="29"/>
        <v>0</v>
      </c>
    </row>
    <row r="70" spans="1:107" x14ac:dyDescent="0.2">
      <c r="A70">
        <f>ROW(Source!A204)</f>
        <v>204</v>
      </c>
      <c r="B70">
        <v>309315610</v>
      </c>
      <c r="C70">
        <v>309316514</v>
      </c>
      <c r="D70">
        <v>89494343</v>
      </c>
      <c r="E70">
        <v>1</v>
      </c>
      <c r="F70">
        <v>1</v>
      </c>
      <c r="G70">
        <v>89440001</v>
      </c>
      <c r="H70">
        <v>3</v>
      </c>
      <c r="I70" t="s">
        <v>374</v>
      </c>
      <c r="J70" t="s">
        <v>375</v>
      </c>
      <c r="K70" t="s">
        <v>376</v>
      </c>
      <c r="L70">
        <v>1391</v>
      </c>
      <c r="N70">
        <v>1013</v>
      </c>
      <c r="O70" t="s">
        <v>157</v>
      </c>
      <c r="P70" t="s">
        <v>157</v>
      </c>
      <c r="Q70">
        <v>1</v>
      </c>
      <c r="W70">
        <v>0</v>
      </c>
      <c r="X70">
        <v>-590999732</v>
      </c>
      <c r="Y70">
        <v>0</v>
      </c>
      <c r="AA70">
        <v>488.42</v>
      </c>
      <c r="AB70">
        <v>0</v>
      </c>
      <c r="AC70">
        <v>0</v>
      </c>
      <c r="AD70">
        <v>0</v>
      </c>
      <c r="AE70">
        <v>88.7</v>
      </c>
      <c r="AF70">
        <v>0</v>
      </c>
      <c r="AG70">
        <v>0</v>
      </c>
      <c r="AH70">
        <v>0</v>
      </c>
      <c r="AI70">
        <v>5.49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5</v>
      </c>
      <c r="AU70" t="s">
        <v>216</v>
      </c>
      <c r="AV70">
        <v>0</v>
      </c>
      <c r="AW70">
        <v>1</v>
      </c>
      <c r="AX70">
        <v>-1</v>
      </c>
      <c r="AY70">
        <v>0</v>
      </c>
      <c r="AZ70">
        <v>0</v>
      </c>
      <c r="BA70" t="s">
        <v>3</v>
      </c>
      <c r="BB70">
        <v>5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Y70*Source!I204</f>
        <v>0</v>
      </c>
      <c r="CY70">
        <f t="shared" si="25"/>
        <v>488.42</v>
      </c>
      <c r="CZ70">
        <f t="shared" si="26"/>
        <v>88.7</v>
      </c>
      <c r="DA70">
        <f t="shared" si="27"/>
        <v>5.49</v>
      </c>
      <c r="DB70">
        <f t="shared" si="28"/>
        <v>0</v>
      </c>
      <c r="DC70">
        <f t="shared" si="29"/>
        <v>0</v>
      </c>
    </row>
    <row r="71" spans="1:107" x14ac:dyDescent="0.2">
      <c r="A71">
        <f>ROW(Source!A204)</f>
        <v>204</v>
      </c>
      <c r="B71">
        <v>309315610</v>
      </c>
      <c r="C71">
        <v>309316514</v>
      </c>
      <c r="D71">
        <v>89494347</v>
      </c>
      <c r="E71">
        <v>1</v>
      </c>
      <c r="F71">
        <v>1</v>
      </c>
      <c r="G71">
        <v>89440001</v>
      </c>
      <c r="H71">
        <v>3</v>
      </c>
      <c r="I71" t="s">
        <v>377</v>
      </c>
      <c r="J71" t="s">
        <v>378</v>
      </c>
      <c r="K71" t="s">
        <v>379</v>
      </c>
      <c r="L71">
        <v>1391</v>
      </c>
      <c r="N71">
        <v>1013</v>
      </c>
      <c r="O71" t="s">
        <v>157</v>
      </c>
      <c r="P71" t="s">
        <v>157</v>
      </c>
      <c r="Q71">
        <v>1</v>
      </c>
      <c r="W71">
        <v>0</v>
      </c>
      <c r="X71">
        <v>294360810</v>
      </c>
      <c r="Y71">
        <v>0</v>
      </c>
      <c r="AA71">
        <v>1344.14</v>
      </c>
      <c r="AB71">
        <v>0</v>
      </c>
      <c r="AC71">
        <v>0</v>
      </c>
      <c r="AD71">
        <v>0</v>
      </c>
      <c r="AE71">
        <v>207.77</v>
      </c>
      <c r="AF71">
        <v>0</v>
      </c>
      <c r="AG71">
        <v>0</v>
      </c>
      <c r="AH71">
        <v>0</v>
      </c>
      <c r="AI71">
        <v>6.45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4</v>
      </c>
      <c r="AU71" t="s">
        <v>216</v>
      </c>
      <c r="AV71">
        <v>0</v>
      </c>
      <c r="AW71">
        <v>2</v>
      </c>
      <c r="AX71">
        <v>309558191</v>
      </c>
      <c r="AY71">
        <v>1</v>
      </c>
      <c r="AZ71">
        <v>0</v>
      </c>
      <c r="BA71">
        <v>69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Y71*Source!I204</f>
        <v>0</v>
      </c>
      <c r="CY71">
        <f t="shared" si="25"/>
        <v>1344.14</v>
      </c>
      <c r="CZ71">
        <f t="shared" si="26"/>
        <v>207.77</v>
      </c>
      <c r="DA71">
        <f t="shared" si="27"/>
        <v>6.45</v>
      </c>
      <c r="DB71">
        <f t="shared" si="28"/>
        <v>0</v>
      </c>
      <c r="DC71">
        <f t="shared" si="29"/>
        <v>0</v>
      </c>
    </row>
    <row r="72" spans="1:107" x14ac:dyDescent="0.2">
      <c r="A72">
        <f>ROW(Source!A204)</f>
        <v>204</v>
      </c>
      <c r="B72">
        <v>309315610</v>
      </c>
      <c r="C72">
        <v>309316514</v>
      </c>
      <c r="D72">
        <v>89494999</v>
      </c>
      <c r="E72">
        <v>1</v>
      </c>
      <c r="F72">
        <v>1</v>
      </c>
      <c r="G72">
        <v>89440001</v>
      </c>
      <c r="H72">
        <v>3</v>
      </c>
      <c r="I72" t="s">
        <v>380</v>
      </c>
      <c r="J72" t="s">
        <v>381</v>
      </c>
      <c r="K72" t="s">
        <v>382</v>
      </c>
      <c r="L72">
        <v>1354</v>
      </c>
      <c r="N72">
        <v>16987630</v>
      </c>
      <c r="O72" t="s">
        <v>370</v>
      </c>
      <c r="P72" t="s">
        <v>370</v>
      </c>
      <c r="Q72">
        <v>1</v>
      </c>
      <c r="W72">
        <v>0</v>
      </c>
      <c r="X72">
        <v>-1488795303</v>
      </c>
      <c r="Y72">
        <v>0</v>
      </c>
      <c r="AA72">
        <v>4733.1899999999996</v>
      </c>
      <c r="AB72">
        <v>0</v>
      </c>
      <c r="AC72">
        <v>0</v>
      </c>
      <c r="AD72">
        <v>0</v>
      </c>
      <c r="AE72">
        <v>1008.34</v>
      </c>
      <c r="AF72">
        <v>0</v>
      </c>
      <c r="AG72">
        <v>0</v>
      </c>
      <c r="AH72">
        <v>0</v>
      </c>
      <c r="AI72">
        <v>4.68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5</v>
      </c>
      <c r="AU72" t="s">
        <v>216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3</v>
      </c>
      <c r="BB72">
        <v>5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Y72*Source!I204</f>
        <v>0</v>
      </c>
      <c r="CY72">
        <f t="shared" si="25"/>
        <v>4733.1899999999996</v>
      </c>
      <c r="CZ72">
        <f t="shared" si="26"/>
        <v>1008.34</v>
      </c>
      <c r="DA72">
        <f t="shared" si="27"/>
        <v>4.68</v>
      </c>
      <c r="DB72">
        <f t="shared" si="28"/>
        <v>0</v>
      </c>
      <c r="DC72">
        <f t="shared" si="29"/>
        <v>0</v>
      </c>
    </row>
    <row r="73" spans="1:107" x14ac:dyDescent="0.2">
      <c r="A73">
        <f>ROW(Source!A204)</f>
        <v>204</v>
      </c>
      <c r="B73">
        <v>309315610</v>
      </c>
      <c r="C73">
        <v>309316514</v>
      </c>
      <c r="D73">
        <v>0</v>
      </c>
      <c r="E73">
        <v>89440001</v>
      </c>
      <c r="F73">
        <v>1</v>
      </c>
      <c r="G73">
        <v>89440001</v>
      </c>
      <c r="H73">
        <v>3</v>
      </c>
      <c r="I73" t="s">
        <v>222</v>
      </c>
      <c r="J73" t="s">
        <v>3</v>
      </c>
      <c r="K73" t="s">
        <v>223</v>
      </c>
      <c r="L73">
        <v>3209553</v>
      </c>
      <c r="N73">
        <v>1012</v>
      </c>
      <c r="O73" t="s">
        <v>29</v>
      </c>
      <c r="P73" t="s">
        <v>220</v>
      </c>
      <c r="Q73">
        <v>1</v>
      </c>
      <c r="W73">
        <v>0</v>
      </c>
      <c r="X73">
        <v>-1116666975</v>
      </c>
      <c r="Y73">
        <v>58.73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0</v>
      </c>
      <c r="AP73">
        <v>0</v>
      </c>
      <c r="AQ73">
        <v>0</v>
      </c>
      <c r="AR73">
        <v>0</v>
      </c>
      <c r="AS73" t="s">
        <v>3</v>
      </c>
      <c r="AT73">
        <v>58.73</v>
      </c>
      <c r="AU73" t="s">
        <v>3</v>
      </c>
      <c r="AV73">
        <v>0</v>
      </c>
      <c r="AW73">
        <v>1</v>
      </c>
      <c r="AX73">
        <v>-1</v>
      </c>
      <c r="AY73">
        <v>0</v>
      </c>
      <c r="AZ73">
        <v>0</v>
      </c>
      <c r="BA73" t="s">
        <v>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Y73*Source!I204</f>
        <v>5.8730000000000002</v>
      </c>
      <c r="CY73">
        <f t="shared" si="25"/>
        <v>0</v>
      </c>
      <c r="CZ73">
        <f t="shared" si="26"/>
        <v>0</v>
      </c>
      <c r="DA73">
        <f t="shared" si="27"/>
        <v>1</v>
      </c>
      <c r="DB73">
        <f>ROUND(ROUND(AT73*CZ73,2),6)</f>
        <v>0</v>
      </c>
      <c r="DC73">
        <f>ROUND(ROUND(AT73*AG73,2),6)</f>
        <v>0</v>
      </c>
    </row>
    <row r="74" spans="1:107" x14ac:dyDescent="0.2">
      <c r="A74">
        <f>ROW(Source!A204)</f>
        <v>204</v>
      </c>
      <c r="B74">
        <v>309315610</v>
      </c>
      <c r="C74">
        <v>309316514</v>
      </c>
      <c r="D74">
        <v>0</v>
      </c>
      <c r="E74">
        <v>89440001</v>
      </c>
      <c r="F74">
        <v>1</v>
      </c>
      <c r="G74">
        <v>89440001</v>
      </c>
      <c r="H74">
        <v>3</v>
      </c>
      <c r="I74" t="s">
        <v>219</v>
      </c>
      <c r="J74" t="s">
        <v>3</v>
      </c>
      <c r="K74" t="s">
        <v>3</v>
      </c>
      <c r="L74">
        <v>3209553</v>
      </c>
      <c r="N74">
        <v>1012</v>
      </c>
      <c r="O74" t="s">
        <v>29</v>
      </c>
      <c r="P74" t="s">
        <v>220</v>
      </c>
      <c r="Q74">
        <v>1</v>
      </c>
      <c r="W74">
        <v>0</v>
      </c>
      <c r="X74">
        <v>472712974</v>
      </c>
      <c r="Y74">
        <v>5.14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3</v>
      </c>
      <c r="AT74">
        <v>5.14</v>
      </c>
      <c r="AU74" t="s">
        <v>3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Y74*Source!I204</f>
        <v>0.51400000000000001</v>
      </c>
      <c r="CY74">
        <f t="shared" si="25"/>
        <v>0</v>
      </c>
      <c r="CZ74">
        <f t="shared" si="26"/>
        <v>0</v>
      </c>
      <c r="DA74">
        <f t="shared" si="27"/>
        <v>1</v>
      </c>
      <c r="DB74">
        <f>ROUND(ROUND(AT74*CZ74,2),6)</f>
        <v>0</v>
      </c>
      <c r="DC74">
        <f>ROUND(ROUND(AT74*AG74,2),6)</f>
        <v>0</v>
      </c>
    </row>
    <row r="75" spans="1:107" x14ac:dyDescent="0.2">
      <c r="A75">
        <f>ROW(Source!A207)</f>
        <v>207</v>
      </c>
      <c r="B75">
        <v>309315610</v>
      </c>
      <c r="C75">
        <v>309316599</v>
      </c>
      <c r="D75">
        <v>89440006</v>
      </c>
      <c r="E75">
        <v>89440001</v>
      </c>
      <c r="F75">
        <v>1</v>
      </c>
      <c r="G75">
        <v>89440001</v>
      </c>
      <c r="H75">
        <v>1</v>
      </c>
      <c r="I75" t="s">
        <v>308</v>
      </c>
      <c r="J75" t="s">
        <v>3</v>
      </c>
      <c r="K75" t="s">
        <v>309</v>
      </c>
      <c r="L75">
        <v>1191</v>
      </c>
      <c r="N75">
        <v>1013</v>
      </c>
      <c r="O75" t="s">
        <v>310</v>
      </c>
      <c r="P75" t="s">
        <v>310</v>
      </c>
      <c r="Q75">
        <v>1</v>
      </c>
      <c r="W75">
        <v>0</v>
      </c>
      <c r="X75">
        <v>476480486</v>
      </c>
      <c r="Y75">
        <v>21.01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19.100000000000001</v>
      </c>
      <c r="AU75" t="s">
        <v>230</v>
      </c>
      <c r="AV75">
        <v>1</v>
      </c>
      <c r="AW75">
        <v>2</v>
      </c>
      <c r="AX75">
        <v>309316603</v>
      </c>
      <c r="AY75">
        <v>1</v>
      </c>
      <c r="AZ75">
        <v>0</v>
      </c>
      <c r="BA75">
        <v>76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Y75*Source!I207</f>
        <v>33.315557000000005</v>
      </c>
      <c r="CY75">
        <f>AD75</f>
        <v>0</v>
      </c>
      <c r="CZ75">
        <f>AH75</f>
        <v>0</v>
      </c>
      <c r="DA75">
        <f>AL75</f>
        <v>1</v>
      </c>
      <c r="DB75">
        <f>ROUND((ROUND(AT75*CZ75,2)*1.1),6)</f>
        <v>0</v>
      </c>
      <c r="DC75">
        <f>ROUND((ROUND(AT75*AG75,2)*1.1),6)</f>
        <v>0</v>
      </c>
    </row>
    <row r="76" spans="1:107" x14ac:dyDescent="0.2">
      <c r="A76">
        <f>ROW(Source!A207)</f>
        <v>207</v>
      </c>
      <c r="B76">
        <v>309315610</v>
      </c>
      <c r="C76">
        <v>309316599</v>
      </c>
      <c r="D76">
        <v>89461287</v>
      </c>
      <c r="E76">
        <v>89440001</v>
      </c>
      <c r="F76">
        <v>1</v>
      </c>
      <c r="G76">
        <v>89440001</v>
      </c>
      <c r="H76">
        <v>3</v>
      </c>
      <c r="I76" t="s">
        <v>27</v>
      </c>
      <c r="J76" t="s">
        <v>3</v>
      </c>
      <c r="K76" t="s">
        <v>28</v>
      </c>
      <c r="L76">
        <v>1348</v>
      </c>
      <c r="N76">
        <v>1009</v>
      </c>
      <c r="O76" t="s">
        <v>29</v>
      </c>
      <c r="P76" t="s">
        <v>29</v>
      </c>
      <c r="Q76">
        <v>1000</v>
      </c>
      <c r="W76">
        <v>0</v>
      </c>
      <c r="X76">
        <v>1489638031</v>
      </c>
      <c r="Y76">
        <v>1.481995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0</v>
      </c>
      <c r="AP76">
        <v>0</v>
      </c>
      <c r="AQ76">
        <v>0</v>
      </c>
      <c r="AR76">
        <v>0</v>
      </c>
      <c r="AS76" t="s">
        <v>3</v>
      </c>
      <c r="AT76">
        <v>1.481995</v>
      </c>
      <c r="AU76" t="s">
        <v>3</v>
      </c>
      <c r="AV76">
        <v>0</v>
      </c>
      <c r="AW76">
        <v>1</v>
      </c>
      <c r="AX76">
        <v>-1</v>
      </c>
      <c r="AY76">
        <v>0</v>
      </c>
      <c r="AZ76">
        <v>0</v>
      </c>
      <c r="BA76" t="s">
        <v>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Y76*Source!I207</f>
        <v>2.3499994714999999</v>
      </c>
      <c r="CY76">
        <f>AA76</f>
        <v>0</v>
      </c>
      <c r="CZ76">
        <f>AE76</f>
        <v>0</v>
      </c>
      <c r="DA76">
        <f>AI76</f>
        <v>1</v>
      </c>
      <c r="DB76">
        <f>ROUND(ROUND(AT76*CZ76,2),6)</f>
        <v>0</v>
      </c>
      <c r="DC76">
        <f>ROUND(ROUND(AT76*AG76,2),6)</f>
        <v>0</v>
      </c>
    </row>
    <row r="77" spans="1:107" x14ac:dyDescent="0.2">
      <c r="A77">
        <f>ROW(Source!A209)</f>
        <v>209</v>
      </c>
      <c r="B77">
        <v>309315610</v>
      </c>
      <c r="C77">
        <v>309316620</v>
      </c>
      <c r="D77">
        <v>89440006</v>
      </c>
      <c r="E77">
        <v>89440001</v>
      </c>
      <c r="F77">
        <v>1</v>
      </c>
      <c r="G77">
        <v>89440001</v>
      </c>
      <c r="H77">
        <v>1</v>
      </c>
      <c r="I77" t="s">
        <v>308</v>
      </c>
      <c r="J77" t="s">
        <v>3</v>
      </c>
      <c r="K77" t="s">
        <v>309</v>
      </c>
      <c r="L77">
        <v>1191</v>
      </c>
      <c r="N77">
        <v>1013</v>
      </c>
      <c r="O77" t="s">
        <v>310</v>
      </c>
      <c r="P77" t="s">
        <v>310</v>
      </c>
      <c r="Q77">
        <v>1</v>
      </c>
      <c r="W77">
        <v>0</v>
      </c>
      <c r="X77">
        <v>476480486</v>
      </c>
      <c r="Y77">
        <v>1.38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2</v>
      </c>
      <c r="AU77" t="s">
        <v>217</v>
      </c>
      <c r="AV77">
        <v>1</v>
      </c>
      <c r="AW77">
        <v>2</v>
      </c>
      <c r="AX77">
        <v>309316637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Y77*Source!I209</f>
        <v>218.82659999999998</v>
      </c>
      <c r="CY77">
        <f>AD77</f>
        <v>0</v>
      </c>
      <c r="CZ77">
        <f>AH77</f>
        <v>0</v>
      </c>
      <c r="DA77">
        <f>AL77</f>
        <v>1</v>
      </c>
      <c r="DB77">
        <f>ROUND((ROUND(AT77*CZ77,2)*1.15*0.6),6)</f>
        <v>0</v>
      </c>
      <c r="DC77">
        <f>ROUND((ROUND(AT77*AG77,2)*1.15*0.6),6)</f>
        <v>0</v>
      </c>
    </row>
    <row r="78" spans="1:107" x14ac:dyDescent="0.2">
      <c r="A78">
        <f>ROW(Source!A209)</f>
        <v>209</v>
      </c>
      <c r="B78">
        <v>309315610</v>
      </c>
      <c r="C78">
        <v>309316620</v>
      </c>
      <c r="D78">
        <v>89440730</v>
      </c>
      <c r="E78">
        <v>89440001</v>
      </c>
      <c r="F78">
        <v>1</v>
      </c>
      <c r="G78">
        <v>89440001</v>
      </c>
      <c r="H78">
        <v>2</v>
      </c>
      <c r="I78" t="s">
        <v>305</v>
      </c>
      <c r="J78" t="s">
        <v>3</v>
      </c>
      <c r="K78" t="s">
        <v>306</v>
      </c>
      <c r="L78">
        <v>1344</v>
      </c>
      <c r="N78">
        <v>1008</v>
      </c>
      <c r="O78" t="s">
        <v>307</v>
      </c>
      <c r="P78" t="s">
        <v>307</v>
      </c>
      <c r="Q78">
        <v>1</v>
      </c>
      <c r="W78">
        <v>0</v>
      </c>
      <c r="X78">
        <v>-1180195794</v>
      </c>
      <c r="Y78">
        <v>2.7393000000000001</v>
      </c>
      <c r="AA78">
        <v>0</v>
      </c>
      <c r="AB78">
        <v>1.05</v>
      </c>
      <c r="AC78">
        <v>0</v>
      </c>
      <c r="AD78">
        <v>0</v>
      </c>
      <c r="AE78">
        <v>0</v>
      </c>
      <c r="AF78">
        <v>1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3.97</v>
      </c>
      <c r="AU78" t="s">
        <v>217</v>
      </c>
      <c r="AV78">
        <v>0</v>
      </c>
      <c r="AW78">
        <v>2</v>
      </c>
      <c r="AX78">
        <v>309316638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Y78*Source!I209</f>
        <v>434.37080099999997</v>
      </c>
      <c r="CY78">
        <f>AB78</f>
        <v>1.05</v>
      </c>
      <c r="CZ78">
        <f>AF78</f>
        <v>1</v>
      </c>
      <c r="DA78">
        <f>AJ78</f>
        <v>1</v>
      </c>
      <c r="DB78">
        <f>ROUND((ROUND(AT78*CZ78,2)*1.15*0.6),6)</f>
        <v>2.7393000000000001</v>
      </c>
      <c r="DC78">
        <f>ROUND((ROUND(AT78*AG78,2)*1.15*0.6),6)</f>
        <v>0</v>
      </c>
    </row>
    <row r="79" spans="1:107" x14ac:dyDescent="0.2">
      <c r="A79">
        <f>ROW(Source!A209)</f>
        <v>209</v>
      </c>
      <c r="B79">
        <v>309315610</v>
      </c>
      <c r="C79">
        <v>309316620</v>
      </c>
      <c r="D79">
        <v>0</v>
      </c>
      <c r="E79">
        <v>0</v>
      </c>
      <c r="F79">
        <v>1</v>
      </c>
      <c r="G79">
        <v>89440001</v>
      </c>
      <c r="H79">
        <v>3</v>
      </c>
      <c r="I79" t="s">
        <v>3</v>
      </c>
      <c r="J79" t="s">
        <v>3</v>
      </c>
      <c r="K79" t="s">
        <v>222</v>
      </c>
      <c r="L79">
        <v>3209553</v>
      </c>
      <c r="N79">
        <v>1012</v>
      </c>
      <c r="O79" t="s">
        <v>29</v>
      </c>
      <c r="P79" t="s">
        <v>220</v>
      </c>
      <c r="Q79">
        <v>1</v>
      </c>
      <c r="W79">
        <v>0</v>
      </c>
      <c r="X79">
        <v>-127353063</v>
      </c>
      <c r="Y79">
        <v>7.8499999999999993E-3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0</v>
      </c>
      <c r="AP79">
        <v>1</v>
      </c>
      <c r="AQ79">
        <v>0</v>
      </c>
      <c r="AR79">
        <v>0</v>
      </c>
      <c r="AS79" t="s">
        <v>3</v>
      </c>
      <c r="AT79">
        <v>7.8499999999999993E-3</v>
      </c>
      <c r="AU79" t="s">
        <v>3</v>
      </c>
      <c r="AV79">
        <v>0</v>
      </c>
      <c r="AW79">
        <v>1</v>
      </c>
      <c r="AX79">
        <v>-1</v>
      </c>
      <c r="AY79">
        <v>0</v>
      </c>
      <c r="AZ79">
        <v>0</v>
      </c>
      <c r="BA79" t="s">
        <v>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Y79*Source!I209</f>
        <v>1.2447744999999999</v>
      </c>
      <c r="CY79">
        <f>AA79</f>
        <v>0</v>
      </c>
      <c r="CZ79">
        <f>AE79</f>
        <v>0</v>
      </c>
      <c r="DA79">
        <f>AI79</f>
        <v>1</v>
      </c>
      <c r="DB79">
        <f>ROUND(ROUND(AT79*CZ79,2),6)</f>
        <v>0</v>
      </c>
      <c r="DC79">
        <f>ROUND(ROUND(AT79*AG79,2),6)</f>
        <v>0</v>
      </c>
    </row>
    <row r="80" spans="1:107" x14ac:dyDescent="0.2">
      <c r="A80">
        <f>ROW(Source!A209)</f>
        <v>209</v>
      </c>
      <c r="B80">
        <v>309315610</v>
      </c>
      <c r="C80">
        <v>309316620</v>
      </c>
      <c r="D80">
        <v>89487942</v>
      </c>
      <c r="E80">
        <v>1</v>
      </c>
      <c r="F80">
        <v>1</v>
      </c>
      <c r="G80">
        <v>89440001</v>
      </c>
      <c r="H80">
        <v>3</v>
      </c>
      <c r="I80" t="s">
        <v>383</v>
      </c>
      <c r="J80" t="s">
        <v>384</v>
      </c>
      <c r="K80" t="s">
        <v>385</v>
      </c>
      <c r="L80">
        <v>1348</v>
      </c>
      <c r="N80">
        <v>1009</v>
      </c>
      <c r="O80" t="s">
        <v>29</v>
      </c>
      <c r="P80" t="s">
        <v>29</v>
      </c>
      <c r="Q80">
        <v>1000</v>
      </c>
      <c r="W80">
        <v>0</v>
      </c>
      <c r="X80">
        <v>-549458481</v>
      </c>
      <c r="Y80">
        <v>0</v>
      </c>
      <c r="AA80">
        <v>50586.62</v>
      </c>
      <c r="AB80">
        <v>0</v>
      </c>
      <c r="AC80">
        <v>0</v>
      </c>
      <c r="AD80">
        <v>0</v>
      </c>
      <c r="AE80">
        <v>11791.78</v>
      </c>
      <c r="AF80">
        <v>0</v>
      </c>
      <c r="AG80">
        <v>0</v>
      </c>
      <c r="AH80">
        <v>0</v>
      </c>
      <c r="AI80">
        <v>4.21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5.0000000000000001E-4</v>
      </c>
      <c r="AU80" t="s">
        <v>216</v>
      </c>
      <c r="AV80">
        <v>0</v>
      </c>
      <c r="AW80">
        <v>2</v>
      </c>
      <c r="AX80">
        <v>309316639</v>
      </c>
      <c r="AY80">
        <v>1</v>
      </c>
      <c r="AZ80">
        <v>0</v>
      </c>
      <c r="BA80">
        <v>79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Y80*Source!I209</f>
        <v>0</v>
      </c>
      <c r="CY80">
        <f>AA80</f>
        <v>50586.62</v>
      </c>
      <c r="CZ80">
        <f>AE80</f>
        <v>11791.78</v>
      </c>
      <c r="DA80">
        <f>AI80</f>
        <v>4.21</v>
      </c>
      <c r="DB80">
        <f>ROUND((ROUND(AT80*CZ80,2)*0),6)</f>
        <v>0</v>
      </c>
      <c r="DC80">
        <f>ROUND((ROUND(AT80*AG80,2)*0),6)</f>
        <v>0</v>
      </c>
    </row>
    <row r="81" spans="1:107" x14ac:dyDescent="0.2">
      <c r="A81">
        <f>ROW(Source!A209)</f>
        <v>209</v>
      </c>
      <c r="B81">
        <v>309315610</v>
      </c>
      <c r="C81">
        <v>309316620</v>
      </c>
      <c r="D81">
        <v>89487477</v>
      </c>
      <c r="E81">
        <v>1</v>
      </c>
      <c r="F81">
        <v>1</v>
      </c>
      <c r="G81">
        <v>89440001</v>
      </c>
      <c r="H81">
        <v>3</v>
      </c>
      <c r="I81" t="s">
        <v>386</v>
      </c>
      <c r="J81" t="s">
        <v>387</v>
      </c>
      <c r="K81" t="s">
        <v>388</v>
      </c>
      <c r="L81">
        <v>1346</v>
      </c>
      <c r="N81">
        <v>1009</v>
      </c>
      <c r="O81" t="s">
        <v>389</v>
      </c>
      <c r="P81" t="s">
        <v>389</v>
      </c>
      <c r="Q81">
        <v>1</v>
      </c>
      <c r="W81">
        <v>0</v>
      </c>
      <c r="X81">
        <v>1120716698</v>
      </c>
      <c r="Y81">
        <v>0</v>
      </c>
      <c r="AA81">
        <v>54.17</v>
      </c>
      <c r="AB81">
        <v>0</v>
      </c>
      <c r="AC81">
        <v>0</v>
      </c>
      <c r="AD81">
        <v>0</v>
      </c>
      <c r="AE81">
        <v>5.0199999999999996</v>
      </c>
      <c r="AF81">
        <v>0</v>
      </c>
      <c r="AG81">
        <v>0</v>
      </c>
      <c r="AH81">
        <v>0</v>
      </c>
      <c r="AI81">
        <v>10.59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0.12</v>
      </c>
      <c r="AU81" t="s">
        <v>216</v>
      </c>
      <c r="AV81">
        <v>0</v>
      </c>
      <c r="AW81">
        <v>2</v>
      </c>
      <c r="AX81">
        <v>309316640</v>
      </c>
      <c r="AY81">
        <v>1</v>
      </c>
      <c r="AZ81">
        <v>0</v>
      </c>
      <c r="BA81">
        <v>80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Y81*Source!I209</f>
        <v>0</v>
      </c>
      <c r="CY81">
        <f>AA81</f>
        <v>54.17</v>
      </c>
      <c r="CZ81">
        <f>AE81</f>
        <v>5.0199999999999996</v>
      </c>
      <c r="DA81">
        <f>AI81</f>
        <v>10.59</v>
      </c>
      <c r="DB81">
        <f>ROUND((ROUND(AT81*CZ81,2)*0),6)</f>
        <v>0</v>
      </c>
      <c r="DC81">
        <f>ROUND((ROUND(AT81*AG81,2)*0),6)</f>
        <v>0</v>
      </c>
    </row>
    <row r="82" spans="1:107" x14ac:dyDescent="0.2">
      <c r="A82">
        <f>ROW(Source!A209)</f>
        <v>209</v>
      </c>
      <c r="B82">
        <v>309315610</v>
      </c>
      <c r="C82">
        <v>309316620</v>
      </c>
      <c r="D82">
        <v>89508886</v>
      </c>
      <c r="E82">
        <v>1</v>
      </c>
      <c r="F82">
        <v>1</v>
      </c>
      <c r="G82">
        <v>89440001</v>
      </c>
      <c r="H82">
        <v>3</v>
      </c>
      <c r="I82" t="s">
        <v>390</v>
      </c>
      <c r="J82" t="s">
        <v>391</v>
      </c>
      <c r="K82" t="s">
        <v>392</v>
      </c>
      <c r="L82">
        <v>1327</v>
      </c>
      <c r="N82">
        <v>1005</v>
      </c>
      <c r="O82" t="s">
        <v>336</v>
      </c>
      <c r="P82" t="s">
        <v>336</v>
      </c>
      <c r="Q82">
        <v>1</v>
      </c>
      <c r="W82">
        <v>0</v>
      </c>
      <c r="X82">
        <v>-108666190</v>
      </c>
      <c r="Y82">
        <v>0</v>
      </c>
      <c r="AA82">
        <v>252.2</v>
      </c>
      <c r="AB82">
        <v>0</v>
      </c>
      <c r="AC82">
        <v>0</v>
      </c>
      <c r="AD82">
        <v>0</v>
      </c>
      <c r="AE82">
        <v>49.5</v>
      </c>
      <c r="AF82">
        <v>0</v>
      </c>
      <c r="AG82">
        <v>0</v>
      </c>
      <c r="AH82">
        <v>0</v>
      </c>
      <c r="AI82">
        <v>5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1.2</v>
      </c>
      <c r="AU82" t="s">
        <v>216</v>
      </c>
      <c r="AV82">
        <v>0</v>
      </c>
      <c r="AW82">
        <v>2</v>
      </c>
      <c r="AX82">
        <v>309316641</v>
      </c>
      <c r="AY82">
        <v>1</v>
      </c>
      <c r="AZ82">
        <v>0</v>
      </c>
      <c r="BA82">
        <v>81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Y82*Source!I209</f>
        <v>0</v>
      </c>
      <c r="CY82">
        <f>AA82</f>
        <v>252.2</v>
      </c>
      <c r="CZ82">
        <f>AE82</f>
        <v>49.5</v>
      </c>
      <c r="DA82">
        <f>AI82</f>
        <v>5</v>
      </c>
      <c r="DB82">
        <f>ROUND((ROUND(AT82*CZ82,2)*0),6)</f>
        <v>0</v>
      </c>
      <c r="DC82">
        <f>ROUND((ROUND(AT82*AG82,2)*0),6)</f>
        <v>0</v>
      </c>
    </row>
    <row r="83" spans="1:107" x14ac:dyDescent="0.2">
      <c r="A83">
        <f>ROW(Source!A209)</f>
        <v>209</v>
      </c>
      <c r="B83">
        <v>309315610</v>
      </c>
      <c r="C83">
        <v>309316620</v>
      </c>
      <c r="D83">
        <v>89461301</v>
      </c>
      <c r="E83">
        <v>89440001</v>
      </c>
      <c r="F83">
        <v>1</v>
      </c>
      <c r="G83">
        <v>89440001</v>
      </c>
      <c r="H83">
        <v>3</v>
      </c>
      <c r="I83" t="s">
        <v>393</v>
      </c>
      <c r="J83" t="s">
        <v>3</v>
      </c>
      <c r="K83" t="s">
        <v>394</v>
      </c>
      <c r="L83">
        <v>1344</v>
      </c>
      <c r="N83">
        <v>1008</v>
      </c>
      <c r="O83" t="s">
        <v>307</v>
      </c>
      <c r="P83" t="s">
        <v>307</v>
      </c>
      <c r="Q83">
        <v>1</v>
      </c>
      <c r="W83">
        <v>0</v>
      </c>
      <c r="X83">
        <v>-94250534</v>
      </c>
      <c r="Y83">
        <v>0</v>
      </c>
      <c r="AA83">
        <v>1.02</v>
      </c>
      <c r="AB83">
        <v>0</v>
      </c>
      <c r="AC83">
        <v>0</v>
      </c>
      <c r="AD83">
        <v>0</v>
      </c>
      <c r="AE83">
        <v>1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1</v>
      </c>
      <c r="AU83" t="s">
        <v>216</v>
      </c>
      <c r="AV83">
        <v>0</v>
      </c>
      <c r="AW83">
        <v>2</v>
      </c>
      <c r="AX83">
        <v>309316642</v>
      </c>
      <c r="AY83">
        <v>1</v>
      </c>
      <c r="AZ83">
        <v>0</v>
      </c>
      <c r="BA83">
        <v>82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Y83*Source!I209</f>
        <v>0</v>
      </c>
      <c r="CY83">
        <f>AA83</f>
        <v>1.02</v>
      </c>
      <c r="CZ83">
        <f>AE83</f>
        <v>1</v>
      </c>
      <c r="DA83">
        <f>AI83</f>
        <v>1</v>
      </c>
      <c r="DB83">
        <f>ROUND((ROUND(AT83*CZ83,2)*0),6)</f>
        <v>0</v>
      </c>
      <c r="DC83">
        <f>ROUND((ROUND(AT83*AG83,2)*0),6)</f>
        <v>0</v>
      </c>
    </row>
    <row r="84" spans="1:107" x14ac:dyDescent="0.2">
      <c r="A84">
        <f>ROW(Source!A211)</f>
        <v>211</v>
      </c>
      <c r="B84">
        <v>309315610</v>
      </c>
      <c r="C84">
        <v>309316655</v>
      </c>
      <c r="D84">
        <v>89440730</v>
      </c>
      <c r="E84">
        <v>89440001</v>
      </c>
      <c r="F84">
        <v>1</v>
      </c>
      <c r="G84">
        <v>89440001</v>
      </c>
      <c r="H84">
        <v>2</v>
      </c>
      <c r="I84" t="s">
        <v>305</v>
      </c>
      <c r="J84" t="s">
        <v>3</v>
      </c>
      <c r="K84" t="s">
        <v>306</v>
      </c>
      <c r="L84">
        <v>1344</v>
      </c>
      <c r="N84">
        <v>1008</v>
      </c>
      <c r="O84" t="s">
        <v>307</v>
      </c>
      <c r="P84" t="s">
        <v>307</v>
      </c>
      <c r="Q84">
        <v>1</v>
      </c>
      <c r="W84">
        <v>0</v>
      </c>
      <c r="X84">
        <v>-1180195794</v>
      </c>
      <c r="Y84">
        <v>9.7460000000000004</v>
      </c>
      <c r="AA84">
        <v>0</v>
      </c>
      <c r="AB84">
        <v>1.05</v>
      </c>
      <c r="AC84">
        <v>0</v>
      </c>
      <c r="AD84">
        <v>0</v>
      </c>
      <c r="AE84">
        <v>0</v>
      </c>
      <c r="AF84">
        <v>1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8.86</v>
      </c>
      <c r="AU84" t="s">
        <v>230</v>
      </c>
      <c r="AV84">
        <v>0</v>
      </c>
      <c r="AW84">
        <v>2</v>
      </c>
      <c r="AX84">
        <v>309316659</v>
      </c>
      <c r="AY84">
        <v>1</v>
      </c>
      <c r="AZ84">
        <v>0</v>
      </c>
      <c r="BA84">
        <v>83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Y84*Source!I211</f>
        <v>97.282622799999999</v>
      </c>
      <c r="CY84">
        <f>AB84</f>
        <v>1.05</v>
      </c>
      <c r="CZ84">
        <f>AF84</f>
        <v>1</v>
      </c>
      <c r="DA84">
        <f>AJ84</f>
        <v>1</v>
      </c>
      <c r="DB84">
        <f>ROUND((ROUND(AT84*CZ84,2)*1.1),6)</f>
        <v>9.7460000000000004</v>
      </c>
      <c r="DC84">
        <f>ROUND((ROUND(AT84*AG84,2)*1.1),6)</f>
        <v>0</v>
      </c>
    </row>
    <row r="85" spans="1:107" x14ac:dyDescent="0.2">
      <c r="A85">
        <f>ROW(Source!A212)</f>
        <v>212</v>
      </c>
      <c r="B85">
        <v>309315610</v>
      </c>
      <c r="C85">
        <v>309316665</v>
      </c>
      <c r="D85">
        <v>89440730</v>
      </c>
      <c r="E85">
        <v>89440001</v>
      </c>
      <c r="F85">
        <v>1</v>
      </c>
      <c r="G85">
        <v>89440001</v>
      </c>
      <c r="H85">
        <v>2</v>
      </c>
      <c r="I85" t="s">
        <v>305</v>
      </c>
      <c r="J85" t="s">
        <v>3</v>
      </c>
      <c r="K85" t="s">
        <v>306</v>
      </c>
      <c r="L85">
        <v>1344</v>
      </c>
      <c r="N85">
        <v>1008</v>
      </c>
      <c r="O85" t="s">
        <v>307</v>
      </c>
      <c r="P85" t="s">
        <v>307</v>
      </c>
      <c r="Q85">
        <v>1</v>
      </c>
      <c r="W85">
        <v>0</v>
      </c>
      <c r="X85">
        <v>-1180195794</v>
      </c>
      <c r="Y85">
        <v>30.65</v>
      </c>
      <c r="AA85">
        <v>0</v>
      </c>
      <c r="AB85">
        <v>1</v>
      </c>
      <c r="AC85">
        <v>0</v>
      </c>
      <c r="AD85">
        <v>0</v>
      </c>
      <c r="AE85">
        <v>0</v>
      </c>
      <c r="AF85">
        <v>1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30.65</v>
      </c>
      <c r="AU85" t="s">
        <v>3</v>
      </c>
      <c r="AV85">
        <v>0</v>
      </c>
      <c r="AW85">
        <v>2</v>
      </c>
      <c r="AX85">
        <v>309316670</v>
      </c>
      <c r="AY85">
        <v>1</v>
      </c>
      <c r="AZ85">
        <v>6144</v>
      </c>
      <c r="BA85">
        <v>84</v>
      </c>
      <c r="BB85">
        <v>2</v>
      </c>
      <c r="BC85">
        <v>0</v>
      </c>
      <c r="BD85">
        <v>2.7399999999999984</v>
      </c>
      <c r="BE85">
        <v>0</v>
      </c>
      <c r="BF85">
        <v>0</v>
      </c>
      <c r="BG85">
        <v>0</v>
      </c>
      <c r="BH85">
        <v>0</v>
      </c>
      <c r="BI85">
        <v>1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Y85*Source!I212</f>
        <v>305.94829999999996</v>
      </c>
      <c r="CY85">
        <f>AB85</f>
        <v>1</v>
      </c>
      <c r="CZ85">
        <f>AF85</f>
        <v>1</v>
      </c>
      <c r="DA85">
        <f>AJ85</f>
        <v>1</v>
      </c>
      <c r="DB85">
        <f>ROUND(ROUND(AT85*CZ85,2),6)</f>
        <v>30.65</v>
      </c>
      <c r="DC85">
        <f>ROUND(ROUND(AT85*AG85,2),6)</f>
        <v>0</v>
      </c>
    </row>
    <row r="86" spans="1:107" x14ac:dyDescent="0.2">
      <c r="A86">
        <f>ROW(Source!A213)</f>
        <v>213</v>
      </c>
      <c r="B86">
        <v>309315610</v>
      </c>
      <c r="C86">
        <v>309316671</v>
      </c>
      <c r="D86">
        <v>89440730</v>
      </c>
      <c r="E86">
        <v>89440001</v>
      </c>
      <c r="F86">
        <v>1</v>
      </c>
      <c r="G86">
        <v>89440001</v>
      </c>
      <c r="H86">
        <v>2</v>
      </c>
      <c r="I86" t="s">
        <v>305</v>
      </c>
      <c r="J86" t="s">
        <v>3</v>
      </c>
      <c r="K86" t="s">
        <v>306</v>
      </c>
      <c r="L86">
        <v>1344</v>
      </c>
      <c r="N86">
        <v>1008</v>
      </c>
      <c r="O86" t="s">
        <v>307</v>
      </c>
      <c r="P86" t="s">
        <v>307</v>
      </c>
      <c r="Q86">
        <v>1</v>
      </c>
      <c r="W86">
        <v>0</v>
      </c>
      <c r="X86">
        <v>-1180195794</v>
      </c>
      <c r="Y86">
        <v>101</v>
      </c>
      <c r="AA86">
        <v>0</v>
      </c>
      <c r="AB86">
        <v>1</v>
      </c>
      <c r="AC86">
        <v>0</v>
      </c>
      <c r="AD86">
        <v>0</v>
      </c>
      <c r="AE86">
        <v>0</v>
      </c>
      <c r="AF86">
        <v>1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3</v>
      </c>
      <c r="AT86">
        <v>101</v>
      </c>
      <c r="AU86" t="s">
        <v>3</v>
      </c>
      <c r="AV86">
        <v>0</v>
      </c>
      <c r="AW86">
        <v>2</v>
      </c>
      <c r="AX86">
        <v>309316674</v>
      </c>
      <c r="AY86">
        <v>1</v>
      </c>
      <c r="AZ86">
        <v>0</v>
      </c>
      <c r="BA86">
        <v>85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Y86*Source!I213</f>
        <v>237.35000000000002</v>
      </c>
      <c r="CY86">
        <f>AB86</f>
        <v>1</v>
      </c>
      <c r="CZ86">
        <f>AF86</f>
        <v>1</v>
      </c>
      <c r="DA86">
        <f>AJ86</f>
        <v>1</v>
      </c>
      <c r="DB86">
        <f>ROUND(ROUND(AT86*CZ86,2),6)</f>
        <v>101</v>
      </c>
      <c r="DC86">
        <f>ROUND(ROUND(AT86*AG86,2),6)</f>
        <v>0</v>
      </c>
    </row>
    <row r="87" spans="1:107" x14ac:dyDescent="0.2">
      <c r="A87">
        <f>ROW(Source!A248)</f>
        <v>248</v>
      </c>
      <c r="B87">
        <v>309315610</v>
      </c>
      <c r="C87">
        <v>309316684</v>
      </c>
      <c r="D87">
        <v>89440730</v>
      </c>
      <c r="E87">
        <v>89440001</v>
      </c>
      <c r="F87">
        <v>1</v>
      </c>
      <c r="G87">
        <v>89440001</v>
      </c>
      <c r="H87">
        <v>2</v>
      </c>
      <c r="I87" t="s">
        <v>305</v>
      </c>
      <c r="J87" t="s">
        <v>3</v>
      </c>
      <c r="K87" t="s">
        <v>306</v>
      </c>
      <c r="L87">
        <v>1344</v>
      </c>
      <c r="N87">
        <v>1008</v>
      </c>
      <c r="O87" t="s">
        <v>307</v>
      </c>
      <c r="P87" t="s">
        <v>307</v>
      </c>
      <c r="Q87">
        <v>1</v>
      </c>
      <c r="W87">
        <v>0</v>
      </c>
      <c r="X87">
        <v>-1180195794</v>
      </c>
      <c r="Y87">
        <v>1621.9737999999998</v>
      </c>
      <c r="AA87">
        <v>0</v>
      </c>
      <c r="AB87">
        <v>1</v>
      </c>
      <c r="AC87">
        <v>0</v>
      </c>
      <c r="AD87">
        <v>0</v>
      </c>
      <c r="AE87">
        <v>0</v>
      </c>
      <c r="AF87">
        <v>1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2012</v>
      </c>
      <c r="AU87" t="s">
        <v>255</v>
      </c>
      <c r="AV87">
        <v>0</v>
      </c>
      <c r="AW87">
        <v>2</v>
      </c>
      <c r="AX87">
        <v>309316692</v>
      </c>
      <c r="AY87">
        <v>1</v>
      </c>
      <c r="AZ87">
        <v>0</v>
      </c>
      <c r="BA87">
        <v>86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Y87*Source!I248</f>
        <v>3243.9475999999995</v>
      </c>
      <c r="CY87">
        <f>AB87</f>
        <v>1</v>
      </c>
      <c r="CZ87">
        <f>AF87</f>
        <v>1</v>
      </c>
      <c r="DA87">
        <f>AJ87</f>
        <v>1</v>
      </c>
      <c r="DB87">
        <f>ROUND((ROUND(AT87*CZ87,2)*1.15*0.701),6)</f>
        <v>1621.9738</v>
      </c>
      <c r="DC87">
        <f>ROUND((ROUND(AT87*AG87,2)*1.15*0.701),6)</f>
        <v>0</v>
      </c>
    </row>
    <row r="88" spans="1:107" x14ac:dyDescent="0.2">
      <c r="A88">
        <f>ROW(Source!A248)</f>
        <v>248</v>
      </c>
      <c r="B88">
        <v>309315610</v>
      </c>
      <c r="C88">
        <v>309316684</v>
      </c>
      <c r="D88">
        <v>89461287</v>
      </c>
      <c r="E88">
        <v>89440001</v>
      </c>
      <c r="F88">
        <v>1</v>
      </c>
      <c r="G88">
        <v>89440001</v>
      </c>
      <c r="H88">
        <v>3</v>
      </c>
      <c r="I88" t="s">
        <v>27</v>
      </c>
      <c r="J88" t="s">
        <v>3</v>
      </c>
      <c r="K88" t="s">
        <v>28</v>
      </c>
      <c r="L88">
        <v>1348</v>
      </c>
      <c r="N88">
        <v>1009</v>
      </c>
      <c r="O88" t="s">
        <v>29</v>
      </c>
      <c r="P88" t="s">
        <v>29</v>
      </c>
      <c r="Q88">
        <v>1000</v>
      </c>
      <c r="W88">
        <v>0</v>
      </c>
      <c r="X88">
        <v>1489638031</v>
      </c>
      <c r="Y88">
        <v>0.235536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0</v>
      </c>
      <c r="AP88">
        <v>1</v>
      </c>
      <c r="AQ88">
        <v>0</v>
      </c>
      <c r="AR88">
        <v>0</v>
      </c>
      <c r="AS88" t="s">
        <v>3</v>
      </c>
      <c r="AT88">
        <v>0.33600000000000002</v>
      </c>
      <c r="AU88" t="s">
        <v>254</v>
      </c>
      <c r="AV88">
        <v>0</v>
      </c>
      <c r="AW88">
        <v>2</v>
      </c>
      <c r="AX88">
        <v>309316693</v>
      </c>
      <c r="AY88">
        <v>1</v>
      </c>
      <c r="AZ88">
        <v>0</v>
      </c>
      <c r="BA88">
        <v>87</v>
      </c>
      <c r="BB88">
        <v>3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Y88*Source!I248</f>
        <v>0.47107199999999999</v>
      </c>
      <c r="CY88">
        <f>AA88</f>
        <v>0</v>
      </c>
      <c r="CZ88">
        <f>AE88</f>
        <v>0</v>
      </c>
      <c r="DA88">
        <f>AI88</f>
        <v>1</v>
      </c>
      <c r="DB88">
        <f>ROUND((ROUND(AT88*CZ88,2)*0.701),6)</f>
        <v>0</v>
      </c>
      <c r="DC88">
        <f>ROUND((ROUND(AT88*AG88,2)*0.701),6)</f>
        <v>0</v>
      </c>
    </row>
    <row r="89" spans="1:107" x14ac:dyDescent="0.2">
      <c r="A89">
        <f>ROW(Source!A248)</f>
        <v>248</v>
      </c>
      <c r="B89">
        <v>309315610</v>
      </c>
      <c r="C89">
        <v>309316684</v>
      </c>
      <c r="D89">
        <v>89461289</v>
      </c>
      <c r="E89">
        <v>89440001</v>
      </c>
      <c r="F89">
        <v>1</v>
      </c>
      <c r="G89">
        <v>89440001</v>
      </c>
      <c r="H89">
        <v>3</v>
      </c>
      <c r="I89" t="s">
        <v>31</v>
      </c>
      <c r="J89" t="s">
        <v>3</v>
      </c>
      <c r="K89" t="s">
        <v>32</v>
      </c>
      <c r="L89">
        <v>1339</v>
      </c>
      <c r="N89">
        <v>1007</v>
      </c>
      <c r="O89" t="s">
        <v>33</v>
      </c>
      <c r="P89" t="s">
        <v>33</v>
      </c>
      <c r="Q89">
        <v>1</v>
      </c>
      <c r="W89">
        <v>0</v>
      </c>
      <c r="X89">
        <v>179728826</v>
      </c>
      <c r="Y89">
        <v>16.774929999999998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0</v>
      </c>
      <c r="AP89">
        <v>1</v>
      </c>
      <c r="AQ89">
        <v>0</v>
      </c>
      <c r="AR89">
        <v>0</v>
      </c>
      <c r="AS89" t="s">
        <v>3</v>
      </c>
      <c r="AT89">
        <v>23.93</v>
      </c>
      <c r="AU89" t="s">
        <v>254</v>
      </c>
      <c r="AV89">
        <v>0</v>
      </c>
      <c r="AW89">
        <v>2</v>
      </c>
      <c r="AX89">
        <v>309316696</v>
      </c>
      <c r="AY89">
        <v>1</v>
      </c>
      <c r="AZ89">
        <v>0</v>
      </c>
      <c r="BA89">
        <v>88</v>
      </c>
      <c r="BB89">
        <v>3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Y89*Source!I248</f>
        <v>33.549859999999995</v>
      </c>
      <c r="CY89">
        <f>AA89</f>
        <v>0</v>
      </c>
      <c r="CZ89">
        <f>AE89</f>
        <v>0</v>
      </c>
      <c r="DA89">
        <f>AI89</f>
        <v>1</v>
      </c>
      <c r="DB89">
        <f>ROUND((ROUND(AT89*CZ89,2)*0.701),6)</f>
        <v>0</v>
      </c>
      <c r="DC89">
        <f>ROUND((ROUND(AT89*AG89,2)*0.701),6)</f>
        <v>0</v>
      </c>
    </row>
    <row r="90" spans="1:107" x14ac:dyDescent="0.2">
      <c r="A90">
        <f>ROW(Source!A251)</f>
        <v>251</v>
      </c>
      <c r="B90">
        <v>309315610</v>
      </c>
      <c r="C90">
        <v>309316707</v>
      </c>
      <c r="D90">
        <v>89440730</v>
      </c>
      <c r="E90">
        <v>89440001</v>
      </c>
      <c r="F90">
        <v>1</v>
      </c>
      <c r="G90">
        <v>89440001</v>
      </c>
      <c r="H90">
        <v>2</v>
      </c>
      <c r="I90" t="s">
        <v>305</v>
      </c>
      <c r="J90" t="s">
        <v>3</v>
      </c>
      <c r="K90" t="s">
        <v>306</v>
      </c>
      <c r="L90">
        <v>1344</v>
      </c>
      <c r="N90">
        <v>1008</v>
      </c>
      <c r="O90" t="s">
        <v>307</v>
      </c>
      <c r="P90" t="s">
        <v>307</v>
      </c>
      <c r="Q90">
        <v>1</v>
      </c>
      <c r="W90">
        <v>0</v>
      </c>
      <c r="X90">
        <v>-1180195794</v>
      </c>
      <c r="Y90">
        <v>5770.7</v>
      </c>
      <c r="AA90">
        <v>0</v>
      </c>
      <c r="AB90">
        <v>1</v>
      </c>
      <c r="AC90">
        <v>0</v>
      </c>
      <c r="AD90">
        <v>0</v>
      </c>
      <c r="AE90">
        <v>0</v>
      </c>
      <c r="AF90">
        <v>1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5018</v>
      </c>
      <c r="AU90" t="s">
        <v>39</v>
      </c>
      <c r="AV90">
        <v>0</v>
      </c>
      <c r="AW90">
        <v>2</v>
      </c>
      <c r="AX90">
        <v>309316711</v>
      </c>
      <c r="AY90">
        <v>1</v>
      </c>
      <c r="AZ90">
        <v>0</v>
      </c>
      <c r="BA90">
        <v>89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Y90*Source!I251</f>
        <v>11541.4</v>
      </c>
      <c r="CY90">
        <f>AB90</f>
        <v>1</v>
      </c>
      <c r="CZ90">
        <f>AF90</f>
        <v>1</v>
      </c>
      <c r="DA90">
        <f>AJ90</f>
        <v>1</v>
      </c>
      <c r="DB90">
        <f>ROUND((ROUND(AT90*CZ90,2)*1.15),6)</f>
        <v>5770.7</v>
      </c>
      <c r="DC90">
        <f>ROUND((ROUND(AT90*AG90,2)*1.15),6)</f>
        <v>0</v>
      </c>
    </row>
    <row r="91" spans="1:107" x14ac:dyDescent="0.2">
      <c r="A91">
        <f>ROW(Source!A251)</f>
        <v>251</v>
      </c>
      <c r="B91">
        <v>309315610</v>
      </c>
      <c r="C91">
        <v>309316707</v>
      </c>
      <c r="D91">
        <v>0</v>
      </c>
      <c r="E91">
        <v>89440001</v>
      </c>
      <c r="F91">
        <v>1</v>
      </c>
      <c r="G91">
        <v>89440001</v>
      </c>
      <c r="H91">
        <v>3</v>
      </c>
      <c r="I91" t="s">
        <v>261</v>
      </c>
      <c r="J91" t="s">
        <v>3</v>
      </c>
      <c r="K91" t="s">
        <v>262</v>
      </c>
      <c r="L91">
        <v>26908270</v>
      </c>
      <c r="N91">
        <v>16987630</v>
      </c>
      <c r="O91" t="s">
        <v>263</v>
      </c>
      <c r="P91" t="s">
        <v>264</v>
      </c>
      <c r="Q91">
        <v>1</v>
      </c>
      <c r="W91">
        <v>0</v>
      </c>
      <c r="X91">
        <v>777906795</v>
      </c>
      <c r="Y91">
        <v>2</v>
      </c>
      <c r="AA91">
        <v>171898.6</v>
      </c>
      <c r="AB91">
        <v>0</v>
      </c>
      <c r="AC91">
        <v>0</v>
      </c>
      <c r="AD91">
        <v>0</v>
      </c>
      <c r="AE91">
        <v>55646.030000000006</v>
      </c>
      <c r="AF91">
        <v>0</v>
      </c>
      <c r="AG91">
        <v>0</v>
      </c>
      <c r="AH91">
        <v>0</v>
      </c>
      <c r="AI91">
        <v>4.33</v>
      </c>
      <c r="AJ91">
        <v>1</v>
      </c>
      <c r="AK91">
        <v>1</v>
      </c>
      <c r="AL91">
        <v>1</v>
      </c>
      <c r="AN91">
        <v>0</v>
      </c>
      <c r="AO91">
        <v>0</v>
      </c>
      <c r="AP91">
        <v>0</v>
      </c>
      <c r="AQ91">
        <v>0</v>
      </c>
      <c r="AR91">
        <v>0</v>
      </c>
      <c r="AS91" t="s">
        <v>3</v>
      </c>
      <c r="AT91">
        <v>2</v>
      </c>
      <c r="AU91" t="s">
        <v>3</v>
      </c>
      <c r="AV91">
        <v>0</v>
      </c>
      <c r="AW91">
        <v>1</v>
      </c>
      <c r="AX91">
        <v>-1</v>
      </c>
      <c r="AY91">
        <v>0</v>
      </c>
      <c r="AZ91">
        <v>0</v>
      </c>
      <c r="BA91" t="s">
        <v>3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Y91*Source!I251</f>
        <v>4</v>
      </c>
      <c r="CY91">
        <f>AA91</f>
        <v>171898.6</v>
      </c>
      <c r="CZ91">
        <f>AE91</f>
        <v>55646.030000000006</v>
      </c>
      <c r="DA91">
        <f>AI91</f>
        <v>4.33</v>
      </c>
      <c r="DB91">
        <f>ROUND(ROUND(AT91*CZ91,2),6)</f>
        <v>111292.06</v>
      </c>
      <c r="DC91">
        <f>ROUND(ROUND(AT91*AG91,2),6)</f>
        <v>0</v>
      </c>
    </row>
    <row r="92" spans="1:107" x14ac:dyDescent="0.2">
      <c r="A92">
        <f>ROW(Source!A253)</f>
        <v>253</v>
      </c>
      <c r="B92">
        <v>309315610</v>
      </c>
      <c r="C92">
        <v>309316716</v>
      </c>
      <c r="D92">
        <v>89440730</v>
      </c>
      <c r="E92">
        <v>89440001</v>
      </c>
      <c r="F92">
        <v>1</v>
      </c>
      <c r="G92">
        <v>89440001</v>
      </c>
      <c r="H92">
        <v>2</v>
      </c>
      <c r="I92" t="s">
        <v>305</v>
      </c>
      <c r="J92" t="s">
        <v>3</v>
      </c>
      <c r="K92" t="s">
        <v>306</v>
      </c>
      <c r="L92">
        <v>1344</v>
      </c>
      <c r="N92">
        <v>1008</v>
      </c>
      <c r="O92" t="s">
        <v>307</v>
      </c>
      <c r="P92" t="s">
        <v>307</v>
      </c>
      <c r="Q92">
        <v>1</v>
      </c>
      <c r="W92">
        <v>0</v>
      </c>
      <c r="X92">
        <v>-1180195794</v>
      </c>
      <c r="Y92">
        <v>34.5</v>
      </c>
      <c r="AA92">
        <v>0</v>
      </c>
      <c r="AB92">
        <v>1</v>
      </c>
      <c r="AC92">
        <v>0</v>
      </c>
      <c r="AD92">
        <v>0</v>
      </c>
      <c r="AE92">
        <v>0</v>
      </c>
      <c r="AF92">
        <v>1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30</v>
      </c>
      <c r="AU92" t="s">
        <v>39</v>
      </c>
      <c r="AV92">
        <v>0</v>
      </c>
      <c r="AW92">
        <v>2</v>
      </c>
      <c r="AX92">
        <v>309316719</v>
      </c>
      <c r="AY92">
        <v>1</v>
      </c>
      <c r="AZ92">
        <v>0</v>
      </c>
      <c r="BA92">
        <v>90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Y92*Source!I253</f>
        <v>4416</v>
      </c>
      <c r="CY92">
        <f>AB92</f>
        <v>1</v>
      </c>
      <c r="CZ92">
        <f>AF92</f>
        <v>1</v>
      </c>
      <c r="DA92">
        <f>AJ92</f>
        <v>1</v>
      </c>
      <c r="DB92">
        <f>ROUND((ROUND(AT92*CZ92,2)*1.15),6)</f>
        <v>34.5</v>
      </c>
      <c r="DC92">
        <f>ROUND((ROUND(AT92*AG92,2)*1.15),6)</f>
        <v>0</v>
      </c>
    </row>
    <row r="93" spans="1:107" x14ac:dyDescent="0.2">
      <c r="A93">
        <f>ROW(Source!A253)</f>
        <v>253</v>
      </c>
      <c r="B93">
        <v>309315610</v>
      </c>
      <c r="C93">
        <v>309316716</v>
      </c>
      <c r="D93">
        <v>89461289</v>
      </c>
      <c r="E93">
        <v>89440001</v>
      </c>
      <c r="F93">
        <v>1</v>
      </c>
      <c r="G93">
        <v>89440001</v>
      </c>
      <c r="H93">
        <v>3</v>
      </c>
      <c r="I93" t="s">
        <v>31</v>
      </c>
      <c r="J93" t="s">
        <v>3</v>
      </c>
      <c r="K93" t="s">
        <v>32</v>
      </c>
      <c r="L93">
        <v>1339</v>
      </c>
      <c r="N93">
        <v>1007</v>
      </c>
      <c r="O93" t="s">
        <v>33</v>
      </c>
      <c r="P93" t="s">
        <v>33</v>
      </c>
      <c r="Q93">
        <v>1</v>
      </c>
      <c r="W93">
        <v>0</v>
      </c>
      <c r="X93">
        <v>179728826</v>
      </c>
      <c r="Y93">
        <v>0.2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0</v>
      </c>
      <c r="AP93">
        <v>0</v>
      </c>
      <c r="AQ93">
        <v>0</v>
      </c>
      <c r="AR93">
        <v>0</v>
      </c>
      <c r="AS93" t="s">
        <v>3</v>
      </c>
      <c r="AT93">
        <v>0.2</v>
      </c>
      <c r="AU93" t="s">
        <v>3</v>
      </c>
      <c r="AV93">
        <v>0</v>
      </c>
      <c r="AW93">
        <v>2</v>
      </c>
      <c r="AX93">
        <v>309316720</v>
      </c>
      <c r="AY93">
        <v>1</v>
      </c>
      <c r="AZ93">
        <v>0</v>
      </c>
      <c r="BA93">
        <v>91</v>
      </c>
      <c r="BB93">
        <v>3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Y93*Source!I253</f>
        <v>25.6</v>
      </c>
      <c r="CY93">
        <f>AA93</f>
        <v>0</v>
      </c>
      <c r="CZ93">
        <f>AE93</f>
        <v>0</v>
      </c>
      <c r="DA93">
        <f>AI93</f>
        <v>1</v>
      </c>
      <c r="DB93">
        <f>ROUND(ROUND(AT93*CZ93,2),6)</f>
        <v>0</v>
      </c>
      <c r="DC93">
        <f>ROUND(ROUND(AT93*AG93,2),6)</f>
        <v>0</v>
      </c>
    </row>
    <row r="94" spans="1:107" x14ac:dyDescent="0.2">
      <c r="A94">
        <f>ROW(Source!A255)</f>
        <v>255</v>
      </c>
      <c r="B94">
        <v>309315610</v>
      </c>
      <c r="C94">
        <v>309316724</v>
      </c>
      <c r="D94">
        <v>89440006</v>
      </c>
      <c r="E94">
        <v>89440001</v>
      </c>
      <c r="F94">
        <v>1</v>
      </c>
      <c r="G94">
        <v>89440001</v>
      </c>
      <c r="H94">
        <v>1</v>
      </c>
      <c r="I94" t="s">
        <v>308</v>
      </c>
      <c r="J94" t="s">
        <v>3</v>
      </c>
      <c r="K94" t="s">
        <v>309</v>
      </c>
      <c r="L94">
        <v>1191</v>
      </c>
      <c r="N94">
        <v>1013</v>
      </c>
      <c r="O94" t="s">
        <v>310</v>
      </c>
      <c r="P94" t="s">
        <v>310</v>
      </c>
      <c r="Q94">
        <v>1</v>
      </c>
      <c r="W94">
        <v>0</v>
      </c>
      <c r="X94">
        <v>476480486</v>
      </c>
      <c r="Y94">
        <v>760.84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827</v>
      </c>
      <c r="AU94" t="s">
        <v>276</v>
      </c>
      <c r="AV94">
        <v>1</v>
      </c>
      <c r="AW94">
        <v>2</v>
      </c>
      <c r="AX94">
        <v>309316750</v>
      </c>
      <c r="AY94">
        <v>1</v>
      </c>
      <c r="AZ94">
        <v>0</v>
      </c>
      <c r="BA94">
        <v>92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Y94*Source!I255</f>
        <v>224.4478</v>
      </c>
      <c r="CY94">
        <f>AD94</f>
        <v>0</v>
      </c>
      <c r="CZ94">
        <f>AH94</f>
        <v>0</v>
      </c>
      <c r="DA94">
        <f>AL94</f>
        <v>1</v>
      </c>
      <c r="DB94">
        <f>ROUND((ROUND(AT94*CZ94,2)*1.15*0.8),6)</f>
        <v>0</v>
      </c>
      <c r="DC94">
        <f>ROUND((ROUND(AT94*AG94,2)*1.15*0.8),6)</f>
        <v>0</v>
      </c>
    </row>
    <row r="95" spans="1:107" x14ac:dyDescent="0.2">
      <c r="A95">
        <f>ROW(Source!A255)</f>
        <v>255</v>
      </c>
      <c r="B95">
        <v>309315610</v>
      </c>
      <c r="C95">
        <v>309316724</v>
      </c>
      <c r="D95">
        <v>89511697</v>
      </c>
      <c r="E95">
        <v>1</v>
      </c>
      <c r="F95">
        <v>1</v>
      </c>
      <c r="G95">
        <v>89440001</v>
      </c>
      <c r="H95">
        <v>2</v>
      </c>
      <c r="I95" t="s">
        <v>395</v>
      </c>
      <c r="J95" t="s">
        <v>396</v>
      </c>
      <c r="K95" t="s">
        <v>397</v>
      </c>
      <c r="L95">
        <v>1367</v>
      </c>
      <c r="N95">
        <v>1011</v>
      </c>
      <c r="O95" t="s">
        <v>314</v>
      </c>
      <c r="P95" t="s">
        <v>314</v>
      </c>
      <c r="Q95">
        <v>1</v>
      </c>
      <c r="W95">
        <v>0</v>
      </c>
      <c r="X95">
        <v>-249436890</v>
      </c>
      <c r="Y95">
        <v>24.195999999999998</v>
      </c>
      <c r="AA95">
        <v>0</v>
      </c>
      <c r="AB95">
        <v>76.349999999999994</v>
      </c>
      <c r="AC95">
        <v>7.22</v>
      </c>
      <c r="AD95">
        <v>0</v>
      </c>
      <c r="AE95">
        <v>0</v>
      </c>
      <c r="AF95">
        <v>7.01</v>
      </c>
      <c r="AG95">
        <v>0.31</v>
      </c>
      <c r="AH95">
        <v>0</v>
      </c>
      <c r="AI95">
        <v>1</v>
      </c>
      <c r="AJ95">
        <v>10.02</v>
      </c>
      <c r="AK95">
        <v>21.43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26.3</v>
      </c>
      <c r="AU95" t="s">
        <v>276</v>
      </c>
      <c r="AV95">
        <v>0</v>
      </c>
      <c r="AW95">
        <v>2</v>
      </c>
      <c r="AX95">
        <v>309316752</v>
      </c>
      <c r="AY95">
        <v>1</v>
      </c>
      <c r="AZ95">
        <v>0</v>
      </c>
      <c r="BA95">
        <v>93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Y95*Source!I255</f>
        <v>7.1378199999999987</v>
      </c>
      <c r="CY95">
        <f>AB95</f>
        <v>76.349999999999994</v>
      </c>
      <c r="CZ95">
        <f>AF95</f>
        <v>7.01</v>
      </c>
      <c r="DA95">
        <f>AJ95</f>
        <v>10.02</v>
      </c>
      <c r="DB95">
        <f>ROUND((ROUND(AT95*CZ95,2)*1.15*0.8),6)</f>
        <v>169.6112</v>
      </c>
      <c r="DC95">
        <f>ROUND((ROUND(AT95*AG95,2)*1.15*0.8),6)</f>
        <v>7.4980000000000002</v>
      </c>
    </row>
    <row r="96" spans="1:107" x14ac:dyDescent="0.2">
      <c r="A96">
        <f>ROW(Source!A255)</f>
        <v>255</v>
      </c>
      <c r="B96">
        <v>309315610</v>
      </c>
      <c r="C96">
        <v>309316724</v>
      </c>
      <c r="D96">
        <v>89511984</v>
      </c>
      <c r="E96">
        <v>1</v>
      </c>
      <c r="F96">
        <v>1</v>
      </c>
      <c r="G96">
        <v>89440001</v>
      </c>
      <c r="H96">
        <v>2</v>
      </c>
      <c r="I96" t="s">
        <v>327</v>
      </c>
      <c r="J96" t="s">
        <v>398</v>
      </c>
      <c r="K96" t="s">
        <v>329</v>
      </c>
      <c r="L96">
        <v>1367</v>
      </c>
      <c r="N96">
        <v>1011</v>
      </c>
      <c r="O96" t="s">
        <v>314</v>
      </c>
      <c r="P96" t="s">
        <v>314</v>
      </c>
      <c r="Q96">
        <v>1</v>
      </c>
      <c r="W96">
        <v>0</v>
      </c>
      <c r="X96">
        <v>1132395468</v>
      </c>
      <c r="Y96">
        <v>2.2724000000000002</v>
      </c>
      <c r="AA96">
        <v>0</v>
      </c>
      <c r="AB96">
        <v>684.55</v>
      </c>
      <c r="AC96">
        <v>409.75</v>
      </c>
      <c r="AD96">
        <v>0</v>
      </c>
      <c r="AE96">
        <v>0</v>
      </c>
      <c r="AF96">
        <v>74.44</v>
      </c>
      <c r="AG96">
        <v>17.59</v>
      </c>
      <c r="AH96">
        <v>0</v>
      </c>
      <c r="AI96">
        <v>1</v>
      </c>
      <c r="AJ96">
        <v>8.4600000000000009</v>
      </c>
      <c r="AK96">
        <v>21.43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2.4700000000000002</v>
      </c>
      <c r="AU96" t="s">
        <v>276</v>
      </c>
      <c r="AV96">
        <v>0</v>
      </c>
      <c r="AW96">
        <v>2</v>
      </c>
      <c r="AX96">
        <v>309316753</v>
      </c>
      <c r="AY96">
        <v>1</v>
      </c>
      <c r="AZ96">
        <v>0</v>
      </c>
      <c r="BA96">
        <v>94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Y96*Source!I255</f>
        <v>0.67035800000000001</v>
      </c>
      <c r="CY96">
        <f>AB96</f>
        <v>684.55</v>
      </c>
      <c r="CZ96">
        <f>AF96</f>
        <v>74.44</v>
      </c>
      <c r="DA96">
        <f>AJ96</f>
        <v>8.4600000000000009</v>
      </c>
      <c r="DB96">
        <f>ROUND((ROUND(AT96*CZ96,2)*1.15*0.8),6)</f>
        <v>169.16040000000001</v>
      </c>
      <c r="DC96">
        <f>ROUND((ROUND(AT96*AG96,2)*1.15*0.8),6)</f>
        <v>39.973999999999997</v>
      </c>
    </row>
    <row r="97" spans="1:107" x14ac:dyDescent="0.2">
      <c r="A97">
        <f>ROW(Source!A255)</f>
        <v>255</v>
      </c>
      <c r="B97">
        <v>309315610</v>
      </c>
      <c r="C97">
        <v>309316724</v>
      </c>
      <c r="D97">
        <v>89511228</v>
      </c>
      <c r="E97">
        <v>1</v>
      </c>
      <c r="F97">
        <v>1</v>
      </c>
      <c r="G97">
        <v>89440001</v>
      </c>
      <c r="H97">
        <v>2</v>
      </c>
      <c r="I97" t="s">
        <v>399</v>
      </c>
      <c r="J97" t="s">
        <v>400</v>
      </c>
      <c r="K97" t="s">
        <v>401</v>
      </c>
      <c r="L97">
        <v>1367</v>
      </c>
      <c r="N97">
        <v>1011</v>
      </c>
      <c r="O97" t="s">
        <v>314</v>
      </c>
      <c r="P97" t="s">
        <v>314</v>
      </c>
      <c r="Q97">
        <v>1</v>
      </c>
      <c r="W97">
        <v>0</v>
      </c>
      <c r="X97">
        <v>-94137371</v>
      </c>
      <c r="Y97">
        <v>1.5179999999999998</v>
      </c>
      <c r="AA97">
        <v>0</v>
      </c>
      <c r="AB97">
        <v>110.99</v>
      </c>
      <c r="AC97">
        <v>32.64</v>
      </c>
      <c r="AD97">
        <v>0</v>
      </c>
      <c r="AE97">
        <v>0</v>
      </c>
      <c r="AF97">
        <v>102.11</v>
      </c>
      <c r="AG97">
        <v>30.03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1.65</v>
      </c>
      <c r="AU97" t="s">
        <v>276</v>
      </c>
      <c r="AV97">
        <v>0</v>
      </c>
      <c r="AW97">
        <v>2</v>
      </c>
      <c r="AX97">
        <v>309316754</v>
      </c>
      <c r="AY97">
        <v>1</v>
      </c>
      <c r="AZ97">
        <v>0</v>
      </c>
      <c r="BA97">
        <v>95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Y97*Source!I255</f>
        <v>0.44780999999999993</v>
      </c>
      <c r="CY97">
        <f>AB97</f>
        <v>110.99</v>
      </c>
      <c r="CZ97">
        <f>AF97</f>
        <v>102.11</v>
      </c>
      <c r="DA97">
        <f>AJ97</f>
        <v>1</v>
      </c>
      <c r="DB97">
        <f>ROUND((ROUND(AT97*CZ97,2)*1.15*0.8),6)</f>
        <v>155.0016</v>
      </c>
      <c r="DC97">
        <f>ROUND((ROUND(AT97*AG97,2)*1.15*0.8),6)</f>
        <v>45.585999999999999</v>
      </c>
    </row>
    <row r="98" spans="1:107" x14ac:dyDescent="0.2">
      <c r="A98">
        <f>ROW(Source!A255)</f>
        <v>255</v>
      </c>
      <c r="B98">
        <v>309315610</v>
      </c>
      <c r="C98">
        <v>309316724</v>
      </c>
      <c r="D98">
        <v>89511515</v>
      </c>
      <c r="E98">
        <v>1</v>
      </c>
      <c r="F98">
        <v>1</v>
      </c>
      <c r="G98">
        <v>89440001</v>
      </c>
      <c r="H98">
        <v>2</v>
      </c>
      <c r="I98" t="s">
        <v>402</v>
      </c>
      <c r="J98" t="s">
        <v>403</v>
      </c>
      <c r="K98" t="s">
        <v>404</v>
      </c>
      <c r="L98">
        <v>1367</v>
      </c>
      <c r="N98">
        <v>1011</v>
      </c>
      <c r="O98" t="s">
        <v>314</v>
      </c>
      <c r="P98" t="s">
        <v>314</v>
      </c>
      <c r="Q98">
        <v>1</v>
      </c>
      <c r="W98">
        <v>0</v>
      </c>
      <c r="X98">
        <v>1059521099</v>
      </c>
      <c r="Y98">
        <v>35.741999999999997</v>
      </c>
      <c r="AA98">
        <v>0</v>
      </c>
      <c r="AB98">
        <v>9.8699999999999992</v>
      </c>
      <c r="AC98">
        <v>2.1</v>
      </c>
      <c r="AD98">
        <v>0</v>
      </c>
      <c r="AE98">
        <v>0</v>
      </c>
      <c r="AF98">
        <v>2.06</v>
      </c>
      <c r="AG98">
        <v>0.09</v>
      </c>
      <c r="AH98">
        <v>0</v>
      </c>
      <c r="AI98">
        <v>1</v>
      </c>
      <c r="AJ98">
        <v>4.41</v>
      </c>
      <c r="AK98">
        <v>21.43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38.85</v>
      </c>
      <c r="AU98" t="s">
        <v>276</v>
      </c>
      <c r="AV98">
        <v>0</v>
      </c>
      <c r="AW98">
        <v>2</v>
      </c>
      <c r="AX98">
        <v>309316755</v>
      </c>
      <c r="AY98">
        <v>1</v>
      </c>
      <c r="AZ98">
        <v>0</v>
      </c>
      <c r="BA98">
        <v>96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Y98*Source!I255</f>
        <v>10.543889999999999</v>
      </c>
      <c r="CY98">
        <f>AB98</f>
        <v>9.8699999999999992</v>
      </c>
      <c r="CZ98">
        <f>AF98</f>
        <v>2.06</v>
      </c>
      <c r="DA98">
        <f>AJ98</f>
        <v>4.41</v>
      </c>
      <c r="DB98">
        <f>ROUND((ROUND(AT98*CZ98,2)*1.15*0.8),6)</f>
        <v>73.627600000000001</v>
      </c>
      <c r="DC98">
        <f>ROUND((ROUND(AT98*AG98,2)*1.15*0.8),6)</f>
        <v>3.22</v>
      </c>
    </row>
    <row r="99" spans="1:107" x14ac:dyDescent="0.2">
      <c r="A99">
        <f>ROW(Source!A255)</f>
        <v>255</v>
      </c>
      <c r="B99">
        <v>309315610</v>
      </c>
      <c r="C99">
        <v>309316724</v>
      </c>
      <c r="D99">
        <v>0</v>
      </c>
      <c r="E99">
        <v>89440001</v>
      </c>
      <c r="F99">
        <v>1</v>
      </c>
      <c r="G99">
        <v>89440001</v>
      </c>
      <c r="H99">
        <v>3</v>
      </c>
      <c r="I99" t="s">
        <v>3</v>
      </c>
      <c r="J99" t="s">
        <v>3</v>
      </c>
      <c r="K99" t="s">
        <v>280</v>
      </c>
      <c r="L99">
        <v>26833324</v>
      </c>
      <c r="N99">
        <v>1012</v>
      </c>
      <c r="O99" t="s">
        <v>281</v>
      </c>
      <c r="P99" t="s">
        <v>282</v>
      </c>
      <c r="Q99">
        <v>1</v>
      </c>
      <c r="W99">
        <v>0</v>
      </c>
      <c r="X99">
        <v>-1460991068</v>
      </c>
      <c r="Y99">
        <v>250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0</v>
      </c>
      <c r="AP99">
        <v>1</v>
      </c>
      <c r="AQ99">
        <v>0</v>
      </c>
      <c r="AR99">
        <v>0</v>
      </c>
      <c r="AS99" t="s">
        <v>3</v>
      </c>
      <c r="AT99">
        <v>250</v>
      </c>
      <c r="AU99" t="s">
        <v>3</v>
      </c>
      <c r="AV99">
        <v>0</v>
      </c>
      <c r="AW99">
        <v>1</v>
      </c>
      <c r="AX99">
        <v>-1</v>
      </c>
      <c r="AY99">
        <v>0</v>
      </c>
      <c r="AZ99">
        <v>0</v>
      </c>
      <c r="BA99" t="s">
        <v>3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Y99*Source!I255</f>
        <v>73.75</v>
      </c>
      <c r="CY99">
        <f t="shared" ref="CY99:CY104" si="30">AA99</f>
        <v>0</v>
      </c>
      <c r="CZ99">
        <f t="shared" ref="CZ99:CZ104" si="31">AE99</f>
        <v>0</v>
      </c>
      <c r="DA99">
        <f t="shared" ref="DA99:DA104" si="32">AI99</f>
        <v>1</v>
      </c>
      <c r="DB99">
        <f>ROUND(ROUND(AT99*CZ99,2),6)</f>
        <v>0</v>
      </c>
      <c r="DC99">
        <f>ROUND(ROUND(AT99*AG99,2),6)</f>
        <v>0</v>
      </c>
    </row>
    <row r="100" spans="1:107" x14ac:dyDescent="0.2">
      <c r="A100">
        <f>ROW(Source!A255)</f>
        <v>255</v>
      </c>
      <c r="B100">
        <v>309315610</v>
      </c>
      <c r="C100">
        <v>309316724</v>
      </c>
      <c r="D100">
        <v>89487104</v>
      </c>
      <c r="E100">
        <v>1</v>
      </c>
      <c r="F100">
        <v>1</v>
      </c>
      <c r="G100">
        <v>89440001</v>
      </c>
      <c r="H100">
        <v>3</v>
      </c>
      <c r="I100" t="s">
        <v>405</v>
      </c>
      <c r="J100" t="s">
        <v>406</v>
      </c>
      <c r="K100" t="s">
        <v>407</v>
      </c>
      <c r="L100">
        <v>1348</v>
      </c>
      <c r="N100">
        <v>1009</v>
      </c>
      <c r="O100" t="s">
        <v>29</v>
      </c>
      <c r="P100" t="s">
        <v>29</v>
      </c>
      <c r="Q100">
        <v>1000</v>
      </c>
      <c r="W100">
        <v>0</v>
      </c>
      <c r="X100">
        <v>563176784</v>
      </c>
      <c r="Y100">
        <v>0</v>
      </c>
      <c r="AA100">
        <v>60307.87</v>
      </c>
      <c r="AB100">
        <v>0</v>
      </c>
      <c r="AC100">
        <v>0</v>
      </c>
      <c r="AD100">
        <v>0</v>
      </c>
      <c r="AE100">
        <v>6521.42</v>
      </c>
      <c r="AF100">
        <v>0</v>
      </c>
      <c r="AG100">
        <v>0</v>
      </c>
      <c r="AH100">
        <v>0</v>
      </c>
      <c r="AI100">
        <v>9.2200000000000006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0.01</v>
      </c>
      <c r="AU100" t="s">
        <v>216</v>
      </c>
      <c r="AV100">
        <v>0</v>
      </c>
      <c r="AW100">
        <v>2</v>
      </c>
      <c r="AX100">
        <v>309316764</v>
      </c>
      <c r="AY100">
        <v>1</v>
      </c>
      <c r="AZ100">
        <v>0</v>
      </c>
      <c r="BA100">
        <v>98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Y100*Source!I255</f>
        <v>0</v>
      </c>
      <c r="CY100">
        <f t="shared" si="30"/>
        <v>60307.87</v>
      </c>
      <c r="CZ100">
        <f t="shared" si="31"/>
        <v>6521.42</v>
      </c>
      <c r="DA100">
        <f t="shared" si="32"/>
        <v>9.2200000000000006</v>
      </c>
      <c r="DB100">
        <f>ROUND((ROUND(AT100*CZ100,2)*0),6)</f>
        <v>0</v>
      </c>
      <c r="DC100">
        <f>ROUND((ROUND(AT100*AG100,2)*0),6)</f>
        <v>0</v>
      </c>
    </row>
    <row r="101" spans="1:107" x14ac:dyDescent="0.2">
      <c r="A101">
        <f>ROW(Source!A255)</f>
        <v>255</v>
      </c>
      <c r="B101">
        <v>309315610</v>
      </c>
      <c r="C101">
        <v>309316724</v>
      </c>
      <c r="D101">
        <v>89488403</v>
      </c>
      <c r="E101">
        <v>1</v>
      </c>
      <c r="F101">
        <v>1</v>
      </c>
      <c r="G101">
        <v>89440001</v>
      </c>
      <c r="H101">
        <v>3</v>
      </c>
      <c r="I101" t="s">
        <v>364</v>
      </c>
      <c r="J101" t="s">
        <v>365</v>
      </c>
      <c r="K101" t="s">
        <v>366</v>
      </c>
      <c r="L101">
        <v>1348</v>
      </c>
      <c r="N101">
        <v>1009</v>
      </c>
      <c r="O101" t="s">
        <v>29</v>
      </c>
      <c r="P101" t="s">
        <v>29</v>
      </c>
      <c r="Q101">
        <v>1000</v>
      </c>
      <c r="W101">
        <v>0</v>
      </c>
      <c r="X101">
        <v>1310716689</v>
      </c>
      <c r="Y101">
        <v>0</v>
      </c>
      <c r="AA101">
        <v>90383.72</v>
      </c>
      <c r="AB101">
        <v>0</v>
      </c>
      <c r="AC101">
        <v>0</v>
      </c>
      <c r="AD101">
        <v>0</v>
      </c>
      <c r="AE101">
        <v>7191.81</v>
      </c>
      <c r="AF101">
        <v>0</v>
      </c>
      <c r="AG101">
        <v>0</v>
      </c>
      <c r="AH101">
        <v>0</v>
      </c>
      <c r="AI101">
        <v>12.53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2.75E-2</v>
      </c>
      <c r="AU101" t="s">
        <v>216</v>
      </c>
      <c r="AV101">
        <v>0</v>
      </c>
      <c r="AW101">
        <v>2</v>
      </c>
      <c r="AX101">
        <v>309316765</v>
      </c>
      <c r="AY101">
        <v>1</v>
      </c>
      <c r="AZ101">
        <v>0</v>
      </c>
      <c r="BA101">
        <v>99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Y101*Source!I255</f>
        <v>0</v>
      </c>
      <c r="CY101">
        <f t="shared" si="30"/>
        <v>90383.72</v>
      </c>
      <c r="CZ101">
        <f t="shared" si="31"/>
        <v>7191.81</v>
      </c>
      <c r="DA101">
        <f t="shared" si="32"/>
        <v>12.53</v>
      </c>
      <c r="DB101">
        <f>ROUND((ROUND(AT101*CZ101,2)*0),6)</f>
        <v>0</v>
      </c>
      <c r="DC101">
        <f>ROUND((ROUND(AT101*AG101,2)*0),6)</f>
        <v>0</v>
      </c>
    </row>
    <row r="102" spans="1:107" x14ac:dyDescent="0.2">
      <c r="A102">
        <f>ROW(Source!A255)</f>
        <v>255</v>
      </c>
      <c r="B102">
        <v>309315610</v>
      </c>
      <c r="C102">
        <v>309316724</v>
      </c>
      <c r="D102">
        <v>89487194</v>
      </c>
      <c r="E102">
        <v>1</v>
      </c>
      <c r="F102">
        <v>1</v>
      </c>
      <c r="G102">
        <v>89440001</v>
      </c>
      <c r="H102">
        <v>3</v>
      </c>
      <c r="I102" t="s">
        <v>408</v>
      </c>
      <c r="J102" t="s">
        <v>409</v>
      </c>
      <c r="K102" t="s">
        <v>410</v>
      </c>
      <c r="L102">
        <v>1339</v>
      </c>
      <c r="N102">
        <v>1007</v>
      </c>
      <c r="O102" t="s">
        <v>33</v>
      </c>
      <c r="P102" t="s">
        <v>33</v>
      </c>
      <c r="Q102">
        <v>1</v>
      </c>
      <c r="W102">
        <v>0</v>
      </c>
      <c r="X102">
        <v>-1845249973</v>
      </c>
      <c r="Y102">
        <v>0</v>
      </c>
      <c r="AA102">
        <v>4310.01</v>
      </c>
      <c r="AB102">
        <v>0</v>
      </c>
      <c r="AC102">
        <v>0</v>
      </c>
      <c r="AD102">
        <v>0</v>
      </c>
      <c r="AE102">
        <v>1828.56</v>
      </c>
      <c r="AF102">
        <v>0</v>
      </c>
      <c r="AG102">
        <v>0</v>
      </c>
      <c r="AH102">
        <v>0</v>
      </c>
      <c r="AI102">
        <v>2.35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0.3</v>
      </c>
      <c r="AU102" t="s">
        <v>216</v>
      </c>
      <c r="AV102">
        <v>0</v>
      </c>
      <c r="AW102">
        <v>2</v>
      </c>
      <c r="AX102">
        <v>309316766</v>
      </c>
      <c r="AY102">
        <v>1</v>
      </c>
      <c r="AZ102">
        <v>0</v>
      </c>
      <c r="BA102">
        <v>100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Y102*Source!I255</f>
        <v>0</v>
      </c>
      <c r="CY102">
        <f t="shared" si="30"/>
        <v>4310.01</v>
      </c>
      <c r="CZ102">
        <f t="shared" si="31"/>
        <v>1828.56</v>
      </c>
      <c r="DA102">
        <f t="shared" si="32"/>
        <v>2.35</v>
      </c>
      <c r="DB102">
        <f>ROUND((ROUND(AT102*CZ102,2)*0),6)</f>
        <v>0</v>
      </c>
      <c r="DC102">
        <f>ROUND((ROUND(AT102*AG102,2)*0),6)</f>
        <v>0</v>
      </c>
    </row>
    <row r="103" spans="1:107" x14ac:dyDescent="0.2">
      <c r="A103">
        <f>ROW(Source!A255)</f>
        <v>255</v>
      </c>
      <c r="B103">
        <v>309315610</v>
      </c>
      <c r="C103">
        <v>309316724</v>
      </c>
      <c r="D103">
        <v>89487031</v>
      </c>
      <c r="E103">
        <v>1</v>
      </c>
      <c r="F103">
        <v>1</v>
      </c>
      <c r="G103">
        <v>89440001</v>
      </c>
      <c r="H103">
        <v>3</v>
      </c>
      <c r="I103" t="s">
        <v>411</v>
      </c>
      <c r="J103" t="s">
        <v>412</v>
      </c>
      <c r="K103" t="s">
        <v>413</v>
      </c>
      <c r="L103">
        <v>1348</v>
      </c>
      <c r="N103">
        <v>1009</v>
      </c>
      <c r="O103" t="s">
        <v>29</v>
      </c>
      <c r="P103" t="s">
        <v>29</v>
      </c>
      <c r="Q103">
        <v>1000</v>
      </c>
      <c r="W103">
        <v>0</v>
      </c>
      <c r="X103">
        <v>-913219385</v>
      </c>
      <c r="Y103">
        <v>0</v>
      </c>
      <c r="AA103">
        <v>24278.97</v>
      </c>
      <c r="AB103">
        <v>0</v>
      </c>
      <c r="AC103">
        <v>0</v>
      </c>
      <c r="AD103">
        <v>0</v>
      </c>
      <c r="AE103">
        <v>3806.03</v>
      </c>
      <c r="AF103">
        <v>0</v>
      </c>
      <c r="AG103">
        <v>0</v>
      </c>
      <c r="AH103">
        <v>0</v>
      </c>
      <c r="AI103">
        <v>6.36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0.84</v>
      </c>
      <c r="AU103" t="s">
        <v>216</v>
      </c>
      <c r="AV103">
        <v>0</v>
      </c>
      <c r="AW103">
        <v>2</v>
      </c>
      <c r="AX103">
        <v>309316767</v>
      </c>
      <c r="AY103">
        <v>1</v>
      </c>
      <c r="AZ103">
        <v>0</v>
      </c>
      <c r="BA103">
        <v>101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Y103*Source!I255</f>
        <v>0</v>
      </c>
      <c r="CY103">
        <f t="shared" si="30"/>
        <v>24278.97</v>
      </c>
      <c r="CZ103">
        <f t="shared" si="31"/>
        <v>3806.03</v>
      </c>
      <c r="DA103">
        <f t="shared" si="32"/>
        <v>6.36</v>
      </c>
      <c r="DB103">
        <f>ROUND((ROUND(AT103*CZ103,2)*0),6)</f>
        <v>0</v>
      </c>
      <c r="DC103">
        <f>ROUND((ROUND(AT103*AG103,2)*0),6)</f>
        <v>0</v>
      </c>
    </row>
    <row r="104" spans="1:107" x14ac:dyDescent="0.2">
      <c r="A104">
        <f>ROW(Source!A255)</f>
        <v>255</v>
      </c>
      <c r="B104">
        <v>309315610</v>
      </c>
      <c r="C104">
        <v>309316724</v>
      </c>
      <c r="D104">
        <v>89510912</v>
      </c>
      <c r="E104">
        <v>1</v>
      </c>
      <c r="F104">
        <v>1</v>
      </c>
      <c r="G104">
        <v>89440001</v>
      </c>
      <c r="H104">
        <v>3</v>
      </c>
      <c r="I104" t="s">
        <v>414</v>
      </c>
      <c r="J104" t="s">
        <v>415</v>
      </c>
      <c r="K104" t="s">
        <v>416</v>
      </c>
      <c r="L104">
        <v>1327</v>
      </c>
      <c r="N104">
        <v>1005</v>
      </c>
      <c r="O104" t="s">
        <v>336</v>
      </c>
      <c r="P104" t="s">
        <v>336</v>
      </c>
      <c r="Q104">
        <v>1</v>
      </c>
      <c r="W104">
        <v>0</v>
      </c>
      <c r="X104">
        <v>-153668504</v>
      </c>
      <c r="Y104">
        <v>0</v>
      </c>
      <c r="AA104">
        <v>324.61</v>
      </c>
      <c r="AB104">
        <v>0</v>
      </c>
      <c r="AC104">
        <v>0</v>
      </c>
      <c r="AD104">
        <v>0</v>
      </c>
      <c r="AE104">
        <v>90.15</v>
      </c>
      <c r="AF104">
        <v>0</v>
      </c>
      <c r="AG104">
        <v>0</v>
      </c>
      <c r="AH104">
        <v>0</v>
      </c>
      <c r="AI104">
        <v>3.59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9.1999999999999993</v>
      </c>
      <c r="AU104" t="s">
        <v>216</v>
      </c>
      <c r="AV104">
        <v>0</v>
      </c>
      <c r="AW104">
        <v>2</v>
      </c>
      <c r="AX104">
        <v>309316768</v>
      </c>
      <c r="AY104">
        <v>1</v>
      </c>
      <c r="AZ104">
        <v>0</v>
      </c>
      <c r="BA104">
        <v>102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Y104*Source!I255</f>
        <v>0</v>
      </c>
      <c r="CY104">
        <f t="shared" si="30"/>
        <v>324.61</v>
      </c>
      <c r="CZ104">
        <f t="shared" si="31"/>
        <v>90.15</v>
      </c>
      <c r="DA104">
        <f t="shared" si="32"/>
        <v>3.59</v>
      </c>
      <c r="DB104">
        <f>ROUND((ROUND(AT104*CZ104,2)*0),6)</f>
        <v>0</v>
      </c>
      <c r="DC104">
        <f>ROUND((ROUND(AT104*AG104,2)*0),6)</f>
        <v>0</v>
      </c>
    </row>
    <row r="105" spans="1:107" x14ac:dyDescent="0.2">
      <c r="A105">
        <f>ROW(Source!A257)</f>
        <v>257</v>
      </c>
      <c r="B105">
        <v>309315610</v>
      </c>
      <c r="C105">
        <v>309316785</v>
      </c>
      <c r="D105">
        <v>89440006</v>
      </c>
      <c r="E105">
        <v>89440001</v>
      </c>
      <c r="F105">
        <v>1</v>
      </c>
      <c r="G105">
        <v>89440001</v>
      </c>
      <c r="H105">
        <v>1</v>
      </c>
      <c r="I105" t="s">
        <v>308</v>
      </c>
      <c r="J105" t="s">
        <v>3</v>
      </c>
      <c r="K105" t="s">
        <v>309</v>
      </c>
      <c r="L105">
        <v>1191</v>
      </c>
      <c r="N105">
        <v>1013</v>
      </c>
      <c r="O105" t="s">
        <v>310</v>
      </c>
      <c r="P105" t="s">
        <v>310</v>
      </c>
      <c r="Q105">
        <v>1</v>
      </c>
      <c r="W105">
        <v>0</v>
      </c>
      <c r="X105">
        <v>476480486</v>
      </c>
      <c r="Y105">
        <v>1.38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1.38</v>
      </c>
      <c r="AU105" t="s">
        <v>3</v>
      </c>
      <c r="AV105">
        <v>1</v>
      </c>
      <c r="AW105">
        <v>2</v>
      </c>
      <c r="AX105">
        <v>309316792</v>
      </c>
      <c r="AY105">
        <v>1</v>
      </c>
      <c r="AZ105">
        <v>0</v>
      </c>
      <c r="BA105">
        <v>107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Y105*Source!I257</f>
        <v>0.81626999999999994</v>
      </c>
      <c r="CY105">
        <f>AD105</f>
        <v>0</v>
      </c>
      <c r="CZ105">
        <f>AH105</f>
        <v>0</v>
      </c>
      <c r="DA105">
        <f>AL105</f>
        <v>1</v>
      </c>
      <c r="DB105">
        <f>ROUND(ROUND(AT105*CZ105,2),6)</f>
        <v>0</v>
      </c>
      <c r="DC105">
        <f>ROUND(ROUND(AT105*AG105,2),6)</f>
        <v>0</v>
      </c>
    </row>
    <row r="106" spans="1:107" x14ac:dyDescent="0.2">
      <c r="A106">
        <f>ROW(Source!A257)</f>
        <v>257</v>
      </c>
      <c r="B106">
        <v>309315610</v>
      </c>
      <c r="C106">
        <v>309316785</v>
      </c>
      <c r="D106">
        <v>89511139</v>
      </c>
      <c r="E106">
        <v>1</v>
      </c>
      <c r="F106">
        <v>1</v>
      </c>
      <c r="G106">
        <v>89440001</v>
      </c>
      <c r="H106">
        <v>2</v>
      </c>
      <c r="I106" t="s">
        <v>311</v>
      </c>
      <c r="J106" t="s">
        <v>312</v>
      </c>
      <c r="K106" t="s">
        <v>313</v>
      </c>
      <c r="L106">
        <v>1367</v>
      </c>
      <c r="N106">
        <v>1011</v>
      </c>
      <c r="O106" t="s">
        <v>314</v>
      </c>
      <c r="P106" t="s">
        <v>314</v>
      </c>
      <c r="Q106">
        <v>1</v>
      </c>
      <c r="W106">
        <v>0</v>
      </c>
      <c r="X106">
        <v>781556702</v>
      </c>
      <c r="Y106">
        <v>3.9874999999999998</v>
      </c>
      <c r="AA106">
        <v>0</v>
      </c>
      <c r="AB106">
        <v>1749.97</v>
      </c>
      <c r="AC106">
        <v>730.57</v>
      </c>
      <c r="AD106">
        <v>0</v>
      </c>
      <c r="AE106">
        <v>0</v>
      </c>
      <c r="AF106">
        <v>162.4</v>
      </c>
      <c r="AG106">
        <v>28.6</v>
      </c>
      <c r="AH106">
        <v>0</v>
      </c>
      <c r="AI106">
        <v>1</v>
      </c>
      <c r="AJ106">
        <v>9.0399999999999991</v>
      </c>
      <c r="AK106">
        <v>21.43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3.9874999999999998</v>
      </c>
      <c r="AU106" t="s">
        <v>3</v>
      </c>
      <c r="AV106">
        <v>0</v>
      </c>
      <c r="AW106">
        <v>2</v>
      </c>
      <c r="AX106">
        <v>309316793</v>
      </c>
      <c r="AY106">
        <v>1</v>
      </c>
      <c r="AZ106">
        <v>0</v>
      </c>
      <c r="BA106">
        <v>108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Y106*Source!I257</f>
        <v>2.3586062499999998</v>
      </c>
      <c r="CY106">
        <f t="shared" ref="CY106:CY112" si="33">AB106</f>
        <v>1749.97</v>
      </c>
      <c r="CZ106">
        <f t="shared" ref="CZ106:CZ112" si="34">AF106</f>
        <v>162.4</v>
      </c>
      <c r="DA106">
        <f t="shared" ref="DA106:DA112" si="35">AJ106</f>
        <v>9.0399999999999991</v>
      </c>
      <c r="DB106">
        <f>ROUND(ROUND(AT106*CZ106,2),6)</f>
        <v>647.57000000000005</v>
      </c>
      <c r="DC106">
        <f>ROUND(ROUND(AT106*AG106,2),6)</f>
        <v>114.04</v>
      </c>
    </row>
    <row r="107" spans="1:107" x14ac:dyDescent="0.2">
      <c r="A107">
        <f>ROW(Source!A257)</f>
        <v>257</v>
      </c>
      <c r="B107">
        <v>309315610</v>
      </c>
      <c r="C107">
        <v>309316785</v>
      </c>
      <c r="D107">
        <v>89511164</v>
      </c>
      <c r="E107">
        <v>1</v>
      </c>
      <c r="F107">
        <v>1</v>
      </c>
      <c r="G107">
        <v>89440001</v>
      </c>
      <c r="H107">
        <v>2</v>
      </c>
      <c r="I107" t="s">
        <v>315</v>
      </c>
      <c r="J107" t="s">
        <v>316</v>
      </c>
      <c r="K107" t="s">
        <v>317</v>
      </c>
      <c r="L107">
        <v>1367</v>
      </c>
      <c r="N107">
        <v>1011</v>
      </c>
      <c r="O107" t="s">
        <v>314</v>
      </c>
      <c r="P107" t="s">
        <v>314</v>
      </c>
      <c r="Q107">
        <v>1</v>
      </c>
      <c r="W107">
        <v>0</v>
      </c>
      <c r="X107">
        <v>695902881</v>
      </c>
      <c r="Y107">
        <v>0.997</v>
      </c>
      <c r="AA107">
        <v>0</v>
      </c>
      <c r="AB107">
        <v>1100.57</v>
      </c>
      <c r="AC107">
        <v>677.44</v>
      </c>
      <c r="AD107">
        <v>0</v>
      </c>
      <c r="AE107">
        <v>0</v>
      </c>
      <c r="AF107">
        <v>110.31</v>
      </c>
      <c r="AG107">
        <v>26.52</v>
      </c>
      <c r="AH107">
        <v>0</v>
      </c>
      <c r="AI107">
        <v>1</v>
      </c>
      <c r="AJ107">
        <v>8.3699999999999992</v>
      </c>
      <c r="AK107">
        <v>21.43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0.997</v>
      </c>
      <c r="AU107" t="s">
        <v>3</v>
      </c>
      <c r="AV107">
        <v>0</v>
      </c>
      <c r="AW107">
        <v>2</v>
      </c>
      <c r="AX107">
        <v>309316794</v>
      </c>
      <c r="AY107">
        <v>1</v>
      </c>
      <c r="AZ107">
        <v>0</v>
      </c>
      <c r="BA107">
        <v>109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Y107*Source!I257</f>
        <v>0.58972550000000001</v>
      </c>
      <c r="CY107">
        <f t="shared" si="33"/>
        <v>1100.57</v>
      </c>
      <c r="CZ107">
        <f t="shared" si="34"/>
        <v>110.31</v>
      </c>
      <c r="DA107">
        <f t="shared" si="35"/>
        <v>8.3699999999999992</v>
      </c>
      <c r="DB107">
        <f>ROUND(ROUND(AT107*CZ107,2),6)</f>
        <v>109.98</v>
      </c>
      <c r="DC107">
        <f>ROUND(ROUND(AT107*AG107,2),6)</f>
        <v>26.44</v>
      </c>
    </row>
    <row r="108" spans="1:107" x14ac:dyDescent="0.2">
      <c r="A108">
        <f>ROW(Source!A258)</f>
        <v>258</v>
      </c>
      <c r="B108">
        <v>309315610</v>
      </c>
      <c r="C108">
        <v>309316796</v>
      </c>
      <c r="D108">
        <v>89440730</v>
      </c>
      <c r="E108">
        <v>89440001</v>
      </c>
      <c r="F108">
        <v>1</v>
      </c>
      <c r="G108">
        <v>89440001</v>
      </c>
      <c r="H108">
        <v>2</v>
      </c>
      <c r="I108" t="s">
        <v>305</v>
      </c>
      <c r="J108" t="s">
        <v>3</v>
      </c>
      <c r="K108" t="s">
        <v>306</v>
      </c>
      <c r="L108">
        <v>1344</v>
      </c>
      <c r="N108">
        <v>1008</v>
      </c>
      <c r="O108" t="s">
        <v>307</v>
      </c>
      <c r="P108" t="s">
        <v>307</v>
      </c>
      <c r="Q108">
        <v>1</v>
      </c>
      <c r="W108">
        <v>0</v>
      </c>
      <c r="X108">
        <v>-1180195794</v>
      </c>
      <c r="Y108">
        <v>45.37</v>
      </c>
      <c r="AA108">
        <v>0</v>
      </c>
      <c r="AB108">
        <v>1</v>
      </c>
      <c r="AC108">
        <v>0</v>
      </c>
      <c r="AD108">
        <v>0</v>
      </c>
      <c r="AE108">
        <v>0</v>
      </c>
      <c r="AF108">
        <v>1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45.37</v>
      </c>
      <c r="AU108" t="s">
        <v>3</v>
      </c>
      <c r="AV108">
        <v>0</v>
      </c>
      <c r="AW108">
        <v>2</v>
      </c>
      <c r="AX108">
        <v>309562746</v>
      </c>
      <c r="AY108">
        <v>1</v>
      </c>
      <c r="AZ108">
        <v>6144</v>
      </c>
      <c r="BA108">
        <v>110</v>
      </c>
      <c r="BB108">
        <v>2</v>
      </c>
      <c r="BC108">
        <v>0</v>
      </c>
      <c r="BD108">
        <v>-28.410000000000004</v>
      </c>
      <c r="BE108">
        <v>0</v>
      </c>
      <c r="BF108">
        <v>0</v>
      </c>
      <c r="BG108">
        <v>0</v>
      </c>
      <c r="BH108">
        <v>0</v>
      </c>
      <c r="BI108">
        <v>1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Y108*Source!I258</f>
        <v>2683.6354999999999</v>
      </c>
      <c r="CY108">
        <f t="shared" si="33"/>
        <v>1</v>
      </c>
      <c r="CZ108">
        <f t="shared" si="34"/>
        <v>1</v>
      </c>
      <c r="DA108">
        <f t="shared" si="35"/>
        <v>1</v>
      </c>
      <c r="DB108">
        <f>ROUND(ROUND(AT108*CZ108,2),6)</f>
        <v>45.37</v>
      </c>
      <c r="DC108">
        <f>ROUND(ROUND(AT108*AG108,2),6)</f>
        <v>0</v>
      </c>
    </row>
    <row r="109" spans="1:107" x14ac:dyDescent="0.2">
      <c r="A109">
        <f>ROW(Source!A259)</f>
        <v>259</v>
      </c>
      <c r="B109">
        <v>309315610</v>
      </c>
      <c r="C109">
        <v>309316800</v>
      </c>
      <c r="D109">
        <v>89440730</v>
      </c>
      <c r="E109">
        <v>89440001</v>
      </c>
      <c r="F109">
        <v>1</v>
      </c>
      <c r="G109">
        <v>89440001</v>
      </c>
      <c r="H109">
        <v>2</v>
      </c>
      <c r="I109" t="s">
        <v>305</v>
      </c>
      <c r="J109" t="s">
        <v>3</v>
      </c>
      <c r="K109" t="s">
        <v>306</v>
      </c>
      <c r="L109">
        <v>1344</v>
      </c>
      <c r="N109">
        <v>1008</v>
      </c>
      <c r="O109" t="s">
        <v>307</v>
      </c>
      <c r="P109" t="s">
        <v>307</v>
      </c>
      <c r="Q109">
        <v>1</v>
      </c>
      <c r="W109">
        <v>0</v>
      </c>
      <c r="X109">
        <v>-1180195794</v>
      </c>
      <c r="Y109">
        <v>43.28</v>
      </c>
      <c r="AA109">
        <v>0</v>
      </c>
      <c r="AB109">
        <v>1</v>
      </c>
      <c r="AC109">
        <v>0</v>
      </c>
      <c r="AD109">
        <v>0</v>
      </c>
      <c r="AE109">
        <v>0</v>
      </c>
      <c r="AF109">
        <v>1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43.28</v>
      </c>
      <c r="AU109" t="s">
        <v>3</v>
      </c>
      <c r="AV109">
        <v>0</v>
      </c>
      <c r="AW109">
        <v>2</v>
      </c>
      <c r="AX109">
        <v>309316805</v>
      </c>
      <c r="AY109">
        <v>1</v>
      </c>
      <c r="AZ109">
        <v>0</v>
      </c>
      <c r="BA109">
        <v>111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Y109*Source!I259</f>
        <v>4608.0216</v>
      </c>
      <c r="CY109">
        <f t="shared" si="33"/>
        <v>1</v>
      </c>
      <c r="CZ109">
        <f t="shared" si="34"/>
        <v>1</v>
      </c>
      <c r="DA109">
        <f t="shared" si="35"/>
        <v>1</v>
      </c>
      <c r="DB109">
        <f>ROUND(ROUND(AT109*CZ109,2),6)</f>
        <v>43.28</v>
      </c>
      <c r="DC109">
        <f>ROUND(ROUND(AT109*AG109,2),6)</f>
        <v>0</v>
      </c>
    </row>
    <row r="110" spans="1:107" x14ac:dyDescent="0.2">
      <c r="A110">
        <f>ROW(Source!A260)</f>
        <v>260</v>
      </c>
      <c r="B110">
        <v>309315610</v>
      </c>
      <c r="C110">
        <v>309316811</v>
      </c>
      <c r="D110">
        <v>89440730</v>
      </c>
      <c r="E110">
        <v>89440001</v>
      </c>
      <c r="F110">
        <v>1</v>
      </c>
      <c r="G110">
        <v>89440001</v>
      </c>
      <c r="H110">
        <v>2</v>
      </c>
      <c r="I110" t="s">
        <v>305</v>
      </c>
      <c r="J110" t="s">
        <v>3</v>
      </c>
      <c r="K110" t="s">
        <v>306</v>
      </c>
      <c r="L110">
        <v>1344</v>
      </c>
      <c r="N110">
        <v>1008</v>
      </c>
      <c r="O110" t="s">
        <v>307</v>
      </c>
      <c r="P110" t="s">
        <v>307</v>
      </c>
      <c r="Q110">
        <v>1</v>
      </c>
      <c r="W110">
        <v>0</v>
      </c>
      <c r="X110">
        <v>-1180195794</v>
      </c>
      <c r="Y110">
        <v>9.7460000000000004</v>
      </c>
      <c r="AA110">
        <v>0</v>
      </c>
      <c r="AB110">
        <v>1.05</v>
      </c>
      <c r="AC110">
        <v>0</v>
      </c>
      <c r="AD110">
        <v>0</v>
      </c>
      <c r="AE110">
        <v>0</v>
      </c>
      <c r="AF110">
        <v>1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8.86</v>
      </c>
      <c r="AU110" t="s">
        <v>230</v>
      </c>
      <c r="AV110">
        <v>0</v>
      </c>
      <c r="AW110">
        <v>2</v>
      </c>
      <c r="AX110">
        <v>309316836</v>
      </c>
      <c r="AY110">
        <v>1</v>
      </c>
      <c r="AZ110">
        <v>0</v>
      </c>
      <c r="BA110">
        <v>112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Y110*Source!I260</f>
        <v>718.76750000000004</v>
      </c>
      <c r="CY110">
        <f t="shared" si="33"/>
        <v>1.05</v>
      </c>
      <c r="CZ110">
        <f t="shared" si="34"/>
        <v>1</v>
      </c>
      <c r="DA110">
        <f t="shared" si="35"/>
        <v>1</v>
      </c>
      <c r="DB110">
        <f>ROUND((ROUND(AT110*CZ110,2)*1.1),6)</f>
        <v>9.7460000000000004</v>
      </c>
      <c r="DC110">
        <f>ROUND((ROUND(AT110*AG110,2)*1.1),6)</f>
        <v>0</v>
      </c>
    </row>
    <row r="111" spans="1:107" x14ac:dyDescent="0.2">
      <c r="A111">
        <f>ROW(Source!A261)</f>
        <v>261</v>
      </c>
      <c r="B111">
        <v>309315610</v>
      </c>
      <c r="C111">
        <v>309316844</v>
      </c>
      <c r="D111">
        <v>89440730</v>
      </c>
      <c r="E111">
        <v>89440001</v>
      </c>
      <c r="F111">
        <v>1</v>
      </c>
      <c r="G111">
        <v>89440001</v>
      </c>
      <c r="H111">
        <v>2</v>
      </c>
      <c r="I111" t="s">
        <v>305</v>
      </c>
      <c r="J111" t="s">
        <v>3</v>
      </c>
      <c r="K111" t="s">
        <v>306</v>
      </c>
      <c r="L111">
        <v>1344</v>
      </c>
      <c r="N111">
        <v>1008</v>
      </c>
      <c r="O111" t="s">
        <v>307</v>
      </c>
      <c r="P111" t="s">
        <v>307</v>
      </c>
      <c r="Q111">
        <v>1</v>
      </c>
      <c r="W111">
        <v>0</v>
      </c>
      <c r="X111">
        <v>-1180195794</v>
      </c>
      <c r="Y111">
        <v>27.91</v>
      </c>
      <c r="AA111">
        <v>0</v>
      </c>
      <c r="AB111">
        <v>1</v>
      </c>
      <c r="AC111">
        <v>0</v>
      </c>
      <c r="AD111">
        <v>0</v>
      </c>
      <c r="AE111">
        <v>0</v>
      </c>
      <c r="AF111">
        <v>1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27.91</v>
      </c>
      <c r="AU111" t="s">
        <v>3</v>
      </c>
      <c r="AV111">
        <v>0</v>
      </c>
      <c r="AW111">
        <v>2</v>
      </c>
      <c r="AX111">
        <v>309316847</v>
      </c>
      <c r="AY111">
        <v>1</v>
      </c>
      <c r="AZ111">
        <v>0</v>
      </c>
      <c r="BA111">
        <v>113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Y111*Source!I261</f>
        <v>2071.5081100000002</v>
      </c>
      <c r="CY111">
        <f t="shared" si="33"/>
        <v>1</v>
      </c>
      <c r="CZ111">
        <f t="shared" si="34"/>
        <v>1</v>
      </c>
      <c r="DA111">
        <f t="shared" si="35"/>
        <v>1</v>
      </c>
      <c r="DB111">
        <f>ROUND(ROUND(AT111*CZ111,2),6)</f>
        <v>27.91</v>
      </c>
      <c r="DC111">
        <f>ROUND(ROUND(AT111*AG111,2),6)</f>
        <v>0</v>
      </c>
    </row>
    <row r="112" spans="1:107" x14ac:dyDescent="0.2">
      <c r="A112">
        <f>ROW(Source!A262)</f>
        <v>262</v>
      </c>
      <c r="B112">
        <v>309315610</v>
      </c>
      <c r="C112">
        <v>309316861</v>
      </c>
      <c r="D112">
        <v>89440730</v>
      </c>
      <c r="E112">
        <v>89440001</v>
      </c>
      <c r="F112">
        <v>1</v>
      </c>
      <c r="G112">
        <v>89440001</v>
      </c>
      <c r="H112">
        <v>2</v>
      </c>
      <c r="I112" t="s">
        <v>305</v>
      </c>
      <c r="J112" t="s">
        <v>3</v>
      </c>
      <c r="K112" t="s">
        <v>306</v>
      </c>
      <c r="L112">
        <v>1344</v>
      </c>
      <c r="N112">
        <v>1008</v>
      </c>
      <c r="O112" t="s">
        <v>307</v>
      </c>
      <c r="P112" t="s">
        <v>307</v>
      </c>
      <c r="Q112">
        <v>1</v>
      </c>
      <c r="W112">
        <v>0</v>
      </c>
      <c r="X112">
        <v>-1180195794</v>
      </c>
      <c r="Y112">
        <v>101</v>
      </c>
      <c r="AA112">
        <v>0</v>
      </c>
      <c r="AB112">
        <v>1</v>
      </c>
      <c r="AC112">
        <v>0</v>
      </c>
      <c r="AD112">
        <v>0</v>
      </c>
      <c r="AE112">
        <v>0</v>
      </c>
      <c r="AF112">
        <v>1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101</v>
      </c>
      <c r="AU112" t="s">
        <v>3</v>
      </c>
      <c r="AV112">
        <v>0</v>
      </c>
      <c r="AW112">
        <v>2</v>
      </c>
      <c r="AX112">
        <v>309316863</v>
      </c>
      <c r="AY112">
        <v>1</v>
      </c>
      <c r="AZ112">
        <v>0</v>
      </c>
      <c r="BA112">
        <v>114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Y112*Source!I262</f>
        <v>7496.3209999999999</v>
      </c>
      <c r="CY112">
        <f t="shared" si="33"/>
        <v>1</v>
      </c>
      <c r="CZ112">
        <f t="shared" si="34"/>
        <v>1</v>
      </c>
      <c r="DA112">
        <f t="shared" si="35"/>
        <v>1</v>
      </c>
      <c r="DB112">
        <f>ROUND(ROUND(AT112*CZ112,2),6)</f>
        <v>101</v>
      </c>
      <c r="DC112">
        <f>ROUND(ROUND(AT112*AG112,2),6)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309316135</v>
      </c>
      <c r="C1">
        <v>309316116</v>
      </c>
      <c r="D1">
        <v>89440730</v>
      </c>
      <c r="E1">
        <v>89440001</v>
      </c>
      <c r="F1">
        <v>1</v>
      </c>
      <c r="G1">
        <v>89440001</v>
      </c>
      <c r="H1">
        <v>2</v>
      </c>
      <c r="I1" t="s">
        <v>305</v>
      </c>
      <c r="J1" t="s">
        <v>3</v>
      </c>
      <c r="K1" t="s">
        <v>306</v>
      </c>
      <c r="L1">
        <v>1344</v>
      </c>
      <c r="N1">
        <v>1008</v>
      </c>
      <c r="O1" t="s">
        <v>307</v>
      </c>
      <c r="P1" t="s">
        <v>307</v>
      </c>
      <c r="Q1">
        <v>1</v>
      </c>
      <c r="X1">
        <v>167</v>
      </c>
      <c r="Y1">
        <v>0</v>
      </c>
      <c r="Z1">
        <v>1</v>
      </c>
      <c r="AA1">
        <v>0</v>
      </c>
      <c r="AB1">
        <v>0</v>
      </c>
      <c r="AC1">
        <v>0</v>
      </c>
      <c r="AD1">
        <v>1</v>
      </c>
      <c r="AE1">
        <v>0</v>
      </c>
      <c r="AF1" t="s">
        <v>21</v>
      </c>
      <c r="AG1">
        <v>165.16299999999998</v>
      </c>
      <c r="AH1">
        <v>2</v>
      </c>
      <c r="AI1">
        <v>309316131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309316139</v>
      </c>
      <c r="C2">
        <v>309316116</v>
      </c>
      <c r="D2">
        <v>89461287</v>
      </c>
      <c r="E2">
        <v>89440001</v>
      </c>
      <c r="F2">
        <v>1</v>
      </c>
      <c r="G2">
        <v>89440001</v>
      </c>
      <c r="H2">
        <v>3</v>
      </c>
      <c r="I2" t="s">
        <v>27</v>
      </c>
      <c r="J2" t="s">
        <v>3</v>
      </c>
      <c r="K2" t="s">
        <v>28</v>
      </c>
      <c r="L2">
        <v>1348</v>
      </c>
      <c r="N2">
        <v>1009</v>
      </c>
      <c r="O2" t="s">
        <v>29</v>
      </c>
      <c r="P2" t="s">
        <v>29</v>
      </c>
      <c r="Q2">
        <v>1000</v>
      </c>
      <c r="X2">
        <v>1.3999999999999999E-4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20</v>
      </c>
      <c r="AG2">
        <v>1.092E-4</v>
      </c>
      <c r="AH2">
        <v>2</v>
      </c>
      <c r="AI2">
        <v>309316133</v>
      </c>
      <c r="AJ2">
        <v>2</v>
      </c>
      <c r="AK2">
        <v>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309316140</v>
      </c>
      <c r="C3">
        <v>309316116</v>
      </c>
      <c r="D3">
        <v>89461289</v>
      </c>
      <c r="E3">
        <v>89440001</v>
      </c>
      <c r="F3">
        <v>1</v>
      </c>
      <c r="G3">
        <v>89440001</v>
      </c>
      <c r="H3">
        <v>3</v>
      </c>
      <c r="I3" t="s">
        <v>31</v>
      </c>
      <c r="J3" t="s">
        <v>3</v>
      </c>
      <c r="K3" t="s">
        <v>32</v>
      </c>
      <c r="L3">
        <v>1339</v>
      </c>
      <c r="N3">
        <v>1007</v>
      </c>
      <c r="O3" t="s">
        <v>33</v>
      </c>
      <c r="P3" t="s">
        <v>33</v>
      </c>
      <c r="Q3">
        <v>1</v>
      </c>
      <c r="X3">
        <v>0.87580000000000002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20</v>
      </c>
      <c r="AG3">
        <v>0.68312400000000006</v>
      </c>
      <c r="AH3">
        <v>2</v>
      </c>
      <c r="AI3">
        <v>309316134</v>
      </c>
      <c r="AJ3">
        <v>3</v>
      </c>
      <c r="AK3">
        <v>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ROW(Source!A31)</f>
        <v>31</v>
      </c>
      <c r="B4">
        <v>309316184</v>
      </c>
      <c r="C4">
        <v>309316181</v>
      </c>
      <c r="D4">
        <v>89440730</v>
      </c>
      <c r="E4">
        <v>89440001</v>
      </c>
      <c r="F4">
        <v>1</v>
      </c>
      <c r="G4">
        <v>89440001</v>
      </c>
      <c r="H4">
        <v>2</v>
      </c>
      <c r="I4" t="s">
        <v>305</v>
      </c>
      <c r="J4" t="s">
        <v>3</v>
      </c>
      <c r="K4" t="s">
        <v>306</v>
      </c>
      <c r="L4">
        <v>1344</v>
      </c>
      <c r="N4">
        <v>1008</v>
      </c>
      <c r="O4" t="s">
        <v>307</v>
      </c>
      <c r="P4" t="s">
        <v>307</v>
      </c>
      <c r="Q4">
        <v>1</v>
      </c>
      <c r="X4">
        <v>30</v>
      </c>
      <c r="Y4">
        <v>0</v>
      </c>
      <c r="Z4">
        <v>1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39</v>
      </c>
      <c r="AG4">
        <v>34.5</v>
      </c>
      <c r="AH4">
        <v>2</v>
      </c>
      <c r="AI4">
        <v>309316182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ROW(Source!A31)</f>
        <v>31</v>
      </c>
      <c r="B5">
        <v>309316191</v>
      </c>
      <c r="C5">
        <v>309316181</v>
      </c>
      <c r="D5">
        <v>89461289</v>
      </c>
      <c r="E5">
        <v>89440001</v>
      </c>
      <c r="F5">
        <v>1</v>
      </c>
      <c r="G5">
        <v>89440001</v>
      </c>
      <c r="H5">
        <v>3</v>
      </c>
      <c r="I5" t="s">
        <v>31</v>
      </c>
      <c r="J5" t="s">
        <v>3</v>
      </c>
      <c r="K5" t="s">
        <v>32</v>
      </c>
      <c r="L5">
        <v>1339</v>
      </c>
      <c r="N5">
        <v>1007</v>
      </c>
      <c r="O5" t="s">
        <v>33</v>
      </c>
      <c r="P5" t="s">
        <v>33</v>
      </c>
      <c r="Q5">
        <v>1</v>
      </c>
      <c r="X5">
        <v>0.2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0.2</v>
      </c>
      <c r="AH5">
        <v>2</v>
      </c>
      <c r="AI5">
        <v>309316183</v>
      </c>
      <c r="AJ5">
        <v>5</v>
      </c>
      <c r="AK5">
        <v>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ROW(Source!A33)</f>
        <v>33</v>
      </c>
      <c r="B6">
        <v>309316201</v>
      </c>
      <c r="C6">
        <v>309316196</v>
      </c>
      <c r="D6">
        <v>89440006</v>
      </c>
      <c r="E6">
        <v>89440001</v>
      </c>
      <c r="F6">
        <v>1</v>
      </c>
      <c r="G6">
        <v>89440001</v>
      </c>
      <c r="H6">
        <v>1</v>
      </c>
      <c r="I6" t="s">
        <v>308</v>
      </c>
      <c r="J6" t="s">
        <v>3</v>
      </c>
      <c r="K6" t="s">
        <v>309</v>
      </c>
      <c r="L6">
        <v>1191</v>
      </c>
      <c r="N6">
        <v>1013</v>
      </c>
      <c r="O6" t="s">
        <v>310</v>
      </c>
      <c r="P6" t="s">
        <v>310</v>
      </c>
      <c r="Q6">
        <v>1</v>
      </c>
      <c r="X6">
        <v>1.38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3</v>
      </c>
      <c r="AG6">
        <v>1.38</v>
      </c>
      <c r="AH6">
        <v>2</v>
      </c>
      <c r="AI6">
        <v>309316197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ROW(Source!A33)</f>
        <v>33</v>
      </c>
      <c r="B7">
        <v>309316203</v>
      </c>
      <c r="C7">
        <v>309316196</v>
      </c>
      <c r="D7">
        <v>89511139</v>
      </c>
      <c r="E7">
        <v>1</v>
      </c>
      <c r="F7">
        <v>1</v>
      </c>
      <c r="G7">
        <v>89440001</v>
      </c>
      <c r="H7">
        <v>2</v>
      </c>
      <c r="I7" t="s">
        <v>311</v>
      </c>
      <c r="J7" t="s">
        <v>312</v>
      </c>
      <c r="K7" t="s">
        <v>313</v>
      </c>
      <c r="L7">
        <v>1367</v>
      </c>
      <c r="N7">
        <v>1011</v>
      </c>
      <c r="O7" t="s">
        <v>314</v>
      </c>
      <c r="P7" t="s">
        <v>314</v>
      </c>
      <c r="Q7">
        <v>1</v>
      </c>
      <c r="X7">
        <v>3.9874999999999998</v>
      </c>
      <c r="Y7">
        <v>0</v>
      </c>
      <c r="Z7">
        <v>162.4</v>
      </c>
      <c r="AA7">
        <v>28.6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3.9874999999999998</v>
      </c>
      <c r="AH7">
        <v>2</v>
      </c>
      <c r="AI7">
        <v>309316198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ROW(Source!A33)</f>
        <v>33</v>
      </c>
      <c r="B8">
        <v>309316204</v>
      </c>
      <c r="C8">
        <v>309316196</v>
      </c>
      <c r="D8">
        <v>89511164</v>
      </c>
      <c r="E8">
        <v>1</v>
      </c>
      <c r="F8">
        <v>1</v>
      </c>
      <c r="G8">
        <v>89440001</v>
      </c>
      <c r="H8">
        <v>2</v>
      </c>
      <c r="I8" t="s">
        <v>315</v>
      </c>
      <c r="J8" t="s">
        <v>316</v>
      </c>
      <c r="K8" t="s">
        <v>317</v>
      </c>
      <c r="L8">
        <v>1367</v>
      </c>
      <c r="N8">
        <v>1011</v>
      </c>
      <c r="O8" t="s">
        <v>314</v>
      </c>
      <c r="P8" t="s">
        <v>314</v>
      </c>
      <c r="Q8">
        <v>1</v>
      </c>
      <c r="X8">
        <v>0.997</v>
      </c>
      <c r="Y8">
        <v>0</v>
      </c>
      <c r="Z8">
        <v>110.31</v>
      </c>
      <c r="AA8">
        <v>26.52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0.997</v>
      </c>
      <c r="AH8">
        <v>2</v>
      </c>
      <c r="AI8">
        <v>309316200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ROW(Source!A34)</f>
        <v>34</v>
      </c>
      <c r="B9">
        <v>309488088</v>
      </c>
      <c r="C9">
        <v>309316206</v>
      </c>
      <c r="D9">
        <v>89440730</v>
      </c>
      <c r="E9">
        <v>89440001</v>
      </c>
      <c r="F9">
        <v>1</v>
      </c>
      <c r="G9">
        <v>89440001</v>
      </c>
      <c r="H9">
        <v>2</v>
      </c>
      <c r="I9" t="s">
        <v>305</v>
      </c>
      <c r="J9" t="s">
        <v>3</v>
      </c>
      <c r="K9" t="s">
        <v>306</v>
      </c>
      <c r="L9">
        <v>1344</v>
      </c>
      <c r="N9">
        <v>1008</v>
      </c>
      <c r="O9" t="s">
        <v>307</v>
      </c>
      <c r="P9" t="s">
        <v>307</v>
      </c>
      <c r="Q9">
        <v>1</v>
      </c>
      <c r="X9">
        <v>73.78</v>
      </c>
      <c r="Y9">
        <v>0</v>
      </c>
      <c r="Z9">
        <v>1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73.78</v>
      </c>
      <c r="AH9">
        <v>2</v>
      </c>
      <c r="AI9">
        <v>309316207</v>
      </c>
      <c r="AJ9">
        <v>9</v>
      </c>
      <c r="AK9">
        <v>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ROW(Source!A35)</f>
        <v>35</v>
      </c>
      <c r="B10">
        <v>309316212</v>
      </c>
      <c r="C10">
        <v>309316209</v>
      </c>
      <c r="D10">
        <v>89440730</v>
      </c>
      <c r="E10">
        <v>89440001</v>
      </c>
      <c r="F10">
        <v>1</v>
      </c>
      <c r="G10">
        <v>89440001</v>
      </c>
      <c r="H10">
        <v>2</v>
      </c>
      <c r="I10" t="s">
        <v>305</v>
      </c>
      <c r="J10" t="s">
        <v>3</v>
      </c>
      <c r="K10" t="s">
        <v>306</v>
      </c>
      <c r="L10">
        <v>1344</v>
      </c>
      <c r="N10">
        <v>1008</v>
      </c>
      <c r="O10" t="s">
        <v>307</v>
      </c>
      <c r="P10" t="s">
        <v>307</v>
      </c>
      <c r="Q10">
        <v>1</v>
      </c>
      <c r="X10">
        <v>43.28</v>
      </c>
      <c r="Y10">
        <v>0</v>
      </c>
      <c r="Z10">
        <v>1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43.28</v>
      </c>
      <c r="AH10">
        <v>2</v>
      </c>
      <c r="AI10">
        <v>309316211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ROW(Source!A36)</f>
        <v>36</v>
      </c>
      <c r="B11">
        <v>309316216</v>
      </c>
      <c r="C11">
        <v>309316214</v>
      </c>
      <c r="D11">
        <v>89440730</v>
      </c>
      <c r="E11">
        <v>89440001</v>
      </c>
      <c r="F11">
        <v>1</v>
      </c>
      <c r="G11">
        <v>89440001</v>
      </c>
      <c r="H11">
        <v>2</v>
      </c>
      <c r="I11" t="s">
        <v>305</v>
      </c>
      <c r="J11" t="s">
        <v>3</v>
      </c>
      <c r="K11" t="s">
        <v>306</v>
      </c>
      <c r="L11">
        <v>1344</v>
      </c>
      <c r="N11">
        <v>1008</v>
      </c>
      <c r="O11" t="s">
        <v>307</v>
      </c>
      <c r="P11" t="s">
        <v>307</v>
      </c>
      <c r="Q11">
        <v>1</v>
      </c>
      <c r="X11">
        <v>27.91</v>
      </c>
      <c r="Y11">
        <v>0</v>
      </c>
      <c r="Z11">
        <v>1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27.91</v>
      </c>
      <c r="AH11">
        <v>2</v>
      </c>
      <c r="AI11">
        <v>309316215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ROW(Source!A37)</f>
        <v>37</v>
      </c>
      <c r="B12">
        <v>309316231</v>
      </c>
      <c r="C12">
        <v>309316228</v>
      </c>
      <c r="D12">
        <v>89440730</v>
      </c>
      <c r="E12">
        <v>89440001</v>
      </c>
      <c r="F12">
        <v>1</v>
      </c>
      <c r="G12">
        <v>89440001</v>
      </c>
      <c r="H12">
        <v>2</v>
      </c>
      <c r="I12" t="s">
        <v>305</v>
      </c>
      <c r="J12" t="s">
        <v>3</v>
      </c>
      <c r="K12" t="s">
        <v>306</v>
      </c>
      <c r="L12">
        <v>1344</v>
      </c>
      <c r="N12">
        <v>1008</v>
      </c>
      <c r="O12" t="s">
        <v>307</v>
      </c>
      <c r="P12" t="s">
        <v>307</v>
      </c>
      <c r="Q12">
        <v>1</v>
      </c>
      <c r="X12">
        <v>101</v>
      </c>
      <c r="Y12">
        <v>0</v>
      </c>
      <c r="Z12">
        <v>1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101</v>
      </c>
      <c r="AH12">
        <v>2</v>
      </c>
      <c r="AI12">
        <v>309316229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ROW(Source!A72)</f>
        <v>72</v>
      </c>
      <c r="B13">
        <v>309316238</v>
      </c>
      <c r="C13">
        <v>309316232</v>
      </c>
      <c r="D13">
        <v>89440730</v>
      </c>
      <c r="E13">
        <v>89440001</v>
      </c>
      <c r="F13">
        <v>1</v>
      </c>
      <c r="G13">
        <v>89440001</v>
      </c>
      <c r="H13">
        <v>2</v>
      </c>
      <c r="I13" t="s">
        <v>305</v>
      </c>
      <c r="J13" t="s">
        <v>3</v>
      </c>
      <c r="K13" t="s">
        <v>306</v>
      </c>
      <c r="L13">
        <v>1344</v>
      </c>
      <c r="N13">
        <v>1008</v>
      </c>
      <c r="O13" t="s">
        <v>307</v>
      </c>
      <c r="P13" t="s">
        <v>307</v>
      </c>
      <c r="Q13">
        <v>1</v>
      </c>
      <c r="X13">
        <v>1478</v>
      </c>
      <c r="Y13">
        <v>0</v>
      </c>
      <c r="Z13">
        <v>1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133</v>
      </c>
      <c r="AG13">
        <v>1599.0777599999999</v>
      </c>
      <c r="AH13">
        <v>2</v>
      </c>
      <c r="AI13">
        <v>309316233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ROW(Source!A72)</f>
        <v>72</v>
      </c>
      <c r="B14">
        <v>309316239</v>
      </c>
      <c r="C14">
        <v>309316232</v>
      </c>
      <c r="D14">
        <v>89461287</v>
      </c>
      <c r="E14">
        <v>89440001</v>
      </c>
      <c r="F14">
        <v>1</v>
      </c>
      <c r="G14">
        <v>89440001</v>
      </c>
      <c r="H14">
        <v>3</v>
      </c>
      <c r="I14" t="s">
        <v>27</v>
      </c>
      <c r="J14" t="s">
        <v>3</v>
      </c>
      <c r="K14" t="s">
        <v>28</v>
      </c>
      <c r="L14">
        <v>1348</v>
      </c>
      <c r="N14">
        <v>1009</v>
      </c>
      <c r="O14" t="s">
        <v>29</v>
      </c>
      <c r="P14" t="s">
        <v>29</v>
      </c>
      <c r="Q14">
        <v>1000</v>
      </c>
      <c r="X14">
        <v>4.2854000000000001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132</v>
      </c>
      <c r="AG14">
        <v>3.9494246400000002</v>
      </c>
      <c r="AH14">
        <v>2</v>
      </c>
      <c r="AI14">
        <v>309316234</v>
      </c>
      <c r="AJ14">
        <v>16</v>
      </c>
      <c r="AK14">
        <v>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ROW(Source!A72)</f>
        <v>72</v>
      </c>
      <c r="B15">
        <v>309316240</v>
      </c>
      <c r="C15">
        <v>309316232</v>
      </c>
      <c r="D15">
        <v>89461289</v>
      </c>
      <c r="E15">
        <v>89440001</v>
      </c>
      <c r="F15">
        <v>1</v>
      </c>
      <c r="G15">
        <v>89440001</v>
      </c>
      <c r="H15">
        <v>3</v>
      </c>
      <c r="I15" t="s">
        <v>31</v>
      </c>
      <c r="J15" t="s">
        <v>3</v>
      </c>
      <c r="K15" t="s">
        <v>32</v>
      </c>
      <c r="L15">
        <v>1339</v>
      </c>
      <c r="N15">
        <v>1007</v>
      </c>
      <c r="O15" t="s">
        <v>33</v>
      </c>
      <c r="P15" t="s">
        <v>33</v>
      </c>
      <c r="Q15">
        <v>1</v>
      </c>
      <c r="X15">
        <v>11.657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132</v>
      </c>
      <c r="AG15">
        <v>10.743091199999999</v>
      </c>
      <c r="AH15">
        <v>2</v>
      </c>
      <c r="AI15">
        <v>309316235</v>
      </c>
      <c r="AJ15">
        <v>17</v>
      </c>
      <c r="AK15">
        <v>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ROW(Source!A77)</f>
        <v>77</v>
      </c>
      <c r="B16">
        <v>309565616</v>
      </c>
      <c r="C16">
        <v>309316268</v>
      </c>
      <c r="D16">
        <v>89440006</v>
      </c>
      <c r="E16">
        <v>89440001</v>
      </c>
      <c r="F16">
        <v>1</v>
      </c>
      <c r="G16">
        <v>89440001</v>
      </c>
      <c r="H16">
        <v>1</v>
      </c>
      <c r="I16" t="s">
        <v>308</v>
      </c>
      <c r="J16" t="s">
        <v>3</v>
      </c>
      <c r="K16" t="s">
        <v>309</v>
      </c>
      <c r="L16">
        <v>1191</v>
      </c>
      <c r="N16">
        <v>1013</v>
      </c>
      <c r="O16" t="s">
        <v>310</v>
      </c>
      <c r="P16" t="s">
        <v>310</v>
      </c>
      <c r="Q16">
        <v>1</v>
      </c>
      <c r="X16">
        <v>16.2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39</v>
      </c>
      <c r="AG16">
        <v>18.63</v>
      </c>
      <c r="AH16">
        <v>2</v>
      </c>
      <c r="AI16">
        <v>309316269</v>
      </c>
      <c r="AJ16">
        <v>18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ROW(Source!A77)</f>
        <v>77</v>
      </c>
      <c r="B17">
        <v>309565617</v>
      </c>
      <c r="C17">
        <v>309316268</v>
      </c>
      <c r="D17">
        <v>89511612</v>
      </c>
      <c r="E17">
        <v>1</v>
      </c>
      <c r="F17">
        <v>1</v>
      </c>
      <c r="G17">
        <v>89440001</v>
      </c>
      <c r="H17">
        <v>2</v>
      </c>
      <c r="I17" t="s">
        <v>318</v>
      </c>
      <c r="J17" t="s">
        <v>319</v>
      </c>
      <c r="K17" t="s">
        <v>320</v>
      </c>
      <c r="L17">
        <v>1367</v>
      </c>
      <c r="N17">
        <v>1011</v>
      </c>
      <c r="O17" t="s">
        <v>314</v>
      </c>
      <c r="P17" t="s">
        <v>314</v>
      </c>
      <c r="Q17">
        <v>1</v>
      </c>
      <c r="X17">
        <v>0.28000000000000003</v>
      </c>
      <c r="Y17">
        <v>0</v>
      </c>
      <c r="Z17">
        <v>4.71</v>
      </c>
      <c r="AA17">
        <v>0.04</v>
      </c>
      <c r="AB17">
        <v>0</v>
      </c>
      <c r="AC17">
        <v>0</v>
      </c>
      <c r="AD17">
        <v>1</v>
      </c>
      <c r="AE17">
        <v>0</v>
      </c>
      <c r="AF17" t="s">
        <v>39</v>
      </c>
      <c r="AG17">
        <v>0.32200000000000001</v>
      </c>
      <c r="AH17">
        <v>2</v>
      </c>
      <c r="AI17">
        <v>309316271</v>
      </c>
      <c r="AJ17">
        <v>19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ROW(Source!A77)</f>
        <v>77</v>
      </c>
      <c r="B18">
        <v>309565618</v>
      </c>
      <c r="C18">
        <v>309316268</v>
      </c>
      <c r="D18">
        <v>89511702</v>
      </c>
      <c r="E18">
        <v>1</v>
      </c>
      <c r="F18">
        <v>1</v>
      </c>
      <c r="G18">
        <v>89440001</v>
      </c>
      <c r="H18">
        <v>2</v>
      </c>
      <c r="I18" t="s">
        <v>321</v>
      </c>
      <c r="J18" t="s">
        <v>322</v>
      </c>
      <c r="K18" t="s">
        <v>323</v>
      </c>
      <c r="L18">
        <v>1367</v>
      </c>
      <c r="N18">
        <v>1011</v>
      </c>
      <c r="O18" t="s">
        <v>314</v>
      </c>
      <c r="P18" t="s">
        <v>314</v>
      </c>
      <c r="Q18">
        <v>1</v>
      </c>
      <c r="X18">
        <v>0.78</v>
      </c>
      <c r="Y18">
        <v>0</v>
      </c>
      <c r="Z18">
        <v>43.4</v>
      </c>
      <c r="AA18">
        <v>2.68</v>
      </c>
      <c r="AB18">
        <v>0</v>
      </c>
      <c r="AC18">
        <v>0</v>
      </c>
      <c r="AD18">
        <v>1</v>
      </c>
      <c r="AE18">
        <v>0</v>
      </c>
      <c r="AF18" t="s">
        <v>39</v>
      </c>
      <c r="AG18">
        <v>0.89699999999999991</v>
      </c>
      <c r="AH18">
        <v>2</v>
      </c>
      <c r="AI18">
        <v>309316272</v>
      </c>
      <c r="AJ18">
        <v>20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ROW(Source!A77)</f>
        <v>77</v>
      </c>
      <c r="B19">
        <v>309565619</v>
      </c>
      <c r="C19">
        <v>309316268</v>
      </c>
      <c r="D19">
        <v>89511879</v>
      </c>
      <c r="E19">
        <v>1</v>
      </c>
      <c r="F19">
        <v>1</v>
      </c>
      <c r="G19">
        <v>89440001</v>
      </c>
      <c r="H19">
        <v>2</v>
      </c>
      <c r="I19" t="s">
        <v>324</v>
      </c>
      <c r="J19" t="s">
        <v>325</v>
      </c>
      <c r="K19" t="s">
        <v>326</v>
      </c>
      <c r="L19">
        <v>1367</v>
      </c>
      <c r="N19">
        <v>1011</v>
      </c>
      <c r="O19" t="s">
        <v>314</v>
      </c>
      <c r="P19" t="s">
        <v>314</v>
      </c>
      <c r="Q19">
        <v>1</v>
      </c>
      <c r="X19">
        <v>0.28000000000000003</v>
      </c>
      <c r="Y19">
        <v>0</v>
      </c>
      <c r="Z19">
        <v>3.71</v>
      </c>
      <c r="AA19">
        <v>0.18</v>
      </c>
      <c r="AB19">
        <v>0</v>
      </c>
      <c r="AC19">
        <v>0</v>
      </c>
      <c r="AD19">
        <v>1</v>
      </c>
      <c r="AE19">
        <v>0</v>
      </c>
      <c r="AF19" t="s">
        <v>39</v>
      </c>
      <c r="AG19">
        <v>0.32200000000000001</v>
      </c>
      <c r="AH19">
        <v>2</v>
      </c>
      <c r="AI19">
        <v>309316273</v>
      </c>
      <c r="AJ19">
        <v>21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ROW(Source!A77)</f>
        <v>77</v>
      </c>
      <c r="B20">
        <v>309565620</v>
      </c>
      <c r="C20">
        <v>309316268</v>
      </c>
      <c r="D20">
        <v>89511984</v>
      </c>
      <c r="E20">
        <v>1</v>
      </c>
      <c r="F20">
        <v>1</v>
      </c>
      <c r="G20">
        <v>89440001</v>
      </c>
      <c r="H20">
        <v>2</v>
      </c>
      <c r="I20" t="s">
        <v>327</v>
      </c>
      <c r="J20" t="s">
        <v>328</v>
      </c>
      <c r="K20" t="s">
        <v>329</v>
      </c>
      <c r="L20">
        <v>1367</v>
      </c>
      <c r="N20">
        <v>1011</v>
      </c>
      <c r="O20" t="s">
        <v>314</v>
      </c>
      <c r="P20" t="s">
        <v>314</v>
      </c>
      <c r="Q20">
        <v>1</v>
      </c>
      <c r="X20">
        <v>0.5</v>
      </c>
      <c r="Y20">
        <v>0</v>
      </c>
      <c r="Z20">
        <v>76.81</v>
      </c>
      <c r="AA20">
        <v>14.36</v>
      </c>
      <c r="AB20">
        <v>0</v>
      </c>
      <c r="AC20">
        <v>0</v>
      </c>
      <c r="AD20">
        <v>1</v>
      </c>
      <c r="AE20">
        <v>0</v>
      </c>
      <c r="AF20" t="s">
        <v>39</v>
      </c>
      <c r="AG20">
        <v>0.57499999999999996</v>
      </c>
      <c r="AH20">
        <v>2</v>
      </c>
      <c r="AI20">
        <v>309316274</v>
      </c>
      <c r="AJ20">
        <v>22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ROW(Source!A77)</f>
        <v>77</v>
      </c>
      <c r="B21">
        <v>309565621</v>
      </c>
      <c r="C21">
        <v>309316268</v>
      </c>
      <c r="D21">
        <v>89512018</v>
      </c>
      <c r="E21">
        <v>1</v>
      </c>
      <c r="F21">
        <v>1</v>
      </c>
      <c r="G21">
        <v>89440001</v>
      </c>
      <c r="H21">
        <v>2</v>
      </c>
      <c r="I21" t="s">
        <v>330</v>
      </c>
      <c r="J21" t="s">
        <v>331</v>
      </c>
      <c r="K21" t="s">
        <v>332</v>
      </c>
      <c r="L21">
        <v>1367</v>
      </c>
      <c r="N21">
        <v>1011</v>
      </c>
      <c r="O21" t="s">
        <v>314</v>
      </c>
      <c r="P21" t="s">
        <v>314</v>
      </c>
      <c r="Q21">
        <v>1</v>
      </c>
      <c r="X21">
        <v>0.49</v>
      </c>
      <c r="Y21">
        <v>0</v>
      </c>
      <c r="Z21">
        <v>2.36</v>
      </c>
      <c r="AA21">
        <v>0.1</v>
      </c>
      <c r="AB21">
        <v>0</v>
      </c>
      <c r="AC21">
        <v>0</v>
      </c>
      <c r="AD21">
        <v>1</v>
      </c>
      <c r="AE21">
        <v>0</v>
      </c>
      <c r="AF21" t="s">
        <v>39</v>
      </c>
      <c r="AG21">
        <v>0.5635</v>
      </c>
      <c r="AH21">
        <v>2</v>
      </c>
      <c r="AI21">
        <v>309316275</v>
      </c>
      <c r="AJ21">
        <v>23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ROW(Source!A77)</f>
        <v>77</v>
      </c>
      <c r="B22">
        <v>309565622</v>
      </c>
      <c r="C22">
        <v>309316268</v>
      </c>
      <c r="D22">
        <v>89440730</v>
      </c>
      <c r="E22">
        <v>89440001</v>
      </c>
      <c r="F22">
        <v>1</v>
      </c>
      <c r="G22">
        <v>89440001</v>
      </c>
      <c r="H22">
        <v>2</v>
      </c>
      <c r="I22" t="s">
        <v>305</v>
      </c>
      <c r="J22" t="s">
        <v>3</v>
      </c>
      <c r="K22" t="s">
        <v>306</v>
      </c>
      <c r="L22">
        <v>1344</v>
      </c>
      <c r="N22">
        <v>1008</v>
      </c>
      <c r="O22" t="s">
        <v>307</v>
      </c>
      <c r="P22" t="s">
        <v>307</v>
      </c>
      <c r="Q22">
        <v>1</v>
      </c>
      <c r="X22">
        <v>0.01</v>
      </c>
      <c r="Y22">
        <v>0</v>
      </c>
      <c r="Z22">
        <v>1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39</v>
      </c>
      <c r="AG22">
        <v>1.15E-2</v>
      </c>
      <c r="AH22">
        <v>2</v>
      </c>
      <c r="AI22">
        <v>309316276</v>
      </c>
      <c r="AJ22">
        <v>24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ROW(Source!A77)</f>
        <v>77</v>
      </c>
      <c r="B23">
        <v>309565623</v>
      </c>
      <c r="C23">
        <v>309316268</v>
      </c>
      <c r="D23">
        <v>89488304</v>
      </c>
      <c r="E23">
        <v>1</v>
      </c>
      <c r="F23">
        <v>1</v>
      </c>
      <c r="G23">
        <v>89440001</v>
      </c>
      <c r="H23">
        <v>3</v>
      </c>
      <c r="I23" t="s">
        <v>333</v>
      </c>
      <c r="J23" t="s">
        <v>334</v>
      </c>
      <c r="K23" t="s">
        <v>335</v>
      </c>
      <c r="L23">
        <v>1327</v>
      </c>
      <c r="N23">
        <v>1005</v>
      </c>
      <c r="O23" t="s">
        <v>336</v>
      </c>
      <c r="P23" t="s">
        <v>336</v>
      </c>
      <c r="Q23">
        <v>1</v>
      </c>
      <c r="X23">
        <v>0.2</v>
      </c>
      <c r="Y23">
        <v>104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0.2</v>
      </c>
      <c r="AH23">
        <v>2</v>
      </c>
      <c r="AI23">
        <v>309316277</v>
      </c>
      <c r="AJ23">
        <v>25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ROW(Source!A77)</f>
        <v>77</v>
      </c>
      <c r="B24">
        <v>309565624</v>
      </c>
      <c r="C24">
        <v>309316268</v>
      </c>
      <c r="D24">
        <v>89487011</v>
      </c>
      <c r="E24">
        <v>1</v>
      </c>
      <c r="F24">
        <v>1</v>
      </c>
      <c r="G24">
        <v>89440001</v>
      </c>
      <c r="H24">
        <v>3</v>
      </c>
      <c r="I24" t="s">
        <v>337</v>
      </c>
      <c r="J24" t="s">
        <v>338</v>
      </c>
      <c r="K24" t="s">
        <v>339</v>
      </c>
      <c r="L24">
        <v>1348</v>
      </c>
      <c r="N24">
        <v>1009</v>
      </c>
      <c r="O24" t="s">
        <v>29</v>
      </c>
      <c r="P24" t="s">
        <v>29</v>
      </c>
      <c r="Q24">
        <v>1000</v>
      </c>
      <c r="X24">
        <v>3.6999999999999999E-4</v>
      </c>
      <c r="Y24">
        <v>9560.4599999999991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3.6999999999999999E-4</v>
      </c>
      <c r="AH24">
        <v>2</v>
      </c>
      <c r="AI24">
        <v>309316278</v>
      </c>
      <c r="AJ24">
        <v>26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ROW(Source!A77)</f>
        <v>77</v>
      </c>
      <c r="B25">
        <v>309565625</v>
      </c>
      <c r="C25">
        <v>309316268</v>
      </c>
      <c r="D25">
        <v>89487850</v>
      </c>
      <c r="E25">
        <v>1</v>
      </c>
      <c r="F25">
        <v>1</v>
      </c>
      <c r="G25">
        <v>89440001</v>
      </c>
      <c r="H25">
        <v>3</v>
      </c>
      <c r="I25" t="s">
        <v>340</v>
      </c>
      <c r="J25" t="s">
        <v>341</v>
      </c>
      <c r="K25" t="s">
        <v>342</v>
      </c>
      <c r="L25">
        <v>1339</v>
      </c>
      <c r="N25">
        <v>1007</v>
      </c>
      <c r="O25" t="s">
        <v>33</v>
      </c>
      <c r="P25" t="s">
        <v>33</v>
      </c>
      <c r="Q25">
        <v>1</v>
      </c>
      <c r="X25">
        <v>7.9000000000000001E-4</v>
      </c>
      <c r="Y25">
        <v>5.67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7.9000000000000001E-4</v>
      </c>
      <c r="AH25">
        <v>2</v>
      </c>
      <c r="AI25">
        <v>309316279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ROW(Source!A77)</f>
        <v>77</v>
      </c>
      <c r="B26">
        <v>309565626</v>
      </c>
      <c r="C26">
        <v>309316268</v>
      </c>
      <c r="D26">
        <v>207446165</v>
      </c>
      <c r="E26">
        <v>89440001</v>
      </c>
      <c r="F26">
        <v>1</v>
      </c>
      <c r="G26">
        <v>89440001</v>
      </c>
      <c r="H26">
        <v>3</v>
      </c>
      <c r="I26" t="s">
        <v>417</v>
      </c>
      <c r="J26" t="s">
        <v>3</v>
      </c>
      <c r="K26" t="s">
        <v>418</v>
      </c>
      <c r="L26">
        <v>1391</v>
      </c>
      <c r="N26">
        <v>1013</v>
      </c>
      <c r="O26" t="s">
        <v>157</v>
      </c>
      <c r="P26" t="s">
        <v>157</v>
      </c>
      <c r="Q26">
        <v>1</v>
      </c>
      <c r="X26">
        <v>1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3</v>
      </c>
      <c r="AG26">
        <v>1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ROW(Source!A79)</f>
        <v>79</v>
      </c>
      <c r="B27">
        <v>309316310</v>
      </c>
      <c r="C27">
        <v>309316306</v>
      </c>
      <c r="D27">
        <v>89440006</v>
      </c>
      <c r="E27">
        <v>89440001</v>
      </c>
      <c r="F27">
        <v>1</v>
      </c>
      <c r="G27">
        <v>89440001</v>
      </c>
      <c r="H27">
        <v>1</v>
      </c>
      <c r="I27" t="s">
        <v>308</v>
      </c>
      <c r="J27" t="s">
        <v>3</v>
      </c>
      <c r="K27" t="s">
        <v>309</v>
      </c>
      <c r="L27">
        <v>1191</v>
      </c>
      <c r="N27">
        <v>1013</v>
      </c>
      <c r="O27" t="s">
        <v>310</v>
      </c>
      <c r="P27" t="s">
        <v>310</v>
      </c>
      <c r="Q27">
        <v>1</v>
      </c>
      <c r="X27">
        <v>1.38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3</v>
      </c>
      <c r="AG27">
        <v>1.38</v>
      </c>
      <c r="AH27">
        <v>2</v>
      </c>
      <c r="AI27">
        <v>309316307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ROW(Source!A79)</f>
        <v>79</v>
      </c>
      <c r="B28">
        <v>309316312</v>
      </c>
      <c r="C28">
        <v>309316306</v>
      </c>
      <c r="D28">
        <v>89511139</v>
      </c>
      <c r="E28">
        <v>1</v>
      </c>
      <c r="F28">
        <v>1</v>
      </c>
      <c r="G28">
        <v>89440001</v>
      </c>
      <c r="H28">
        <v>2</v>
      </c>
      <c r="I28" t="s">
        <v>311</v>
      </c>
      <c r="J28" t="s">
        <v>312</v>
      </c>
      <c r="K28" t="s">
        <v>313</v>
      </c>
      <c r="L28">
        <v>1367</v>
      </c>
      <c r="N28">
        <v>1011</v>
      </c>
      <c r="O28" t="s">
        <v>314</v>
      </c>
      <c r="P28" t="s">
        <v>314</v>
      </c>
      <c r="Q28">
        <v>1</v>
      </c>
      <c r="X28">
        <v>3.9874999999999998</v>
      </c>
      <c r="Y28">
        <v>0</v>
      </c>
      <c r="Z28">
        <v>162.4</v>
      </c>
      <c r="AA28">
        <v>28.6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3.9874999999999998</v>
      </c>
      <c r="AH28">
        <v>2</v>
      </c>
      <c r="AI28">
        <v>309316308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ROW(Source!A79)</f>
        <v>79</v>
      </c>
      <c r="B29">
        <v>309316313</v>
      </c>
      <c r="C29">
        <v>309316306</v>
      </c>
      <c r="D29">
        <v>89511164</v>
      </c>
      <c r="E29">
        <v>1</v>
      </c>
      <c r="F29">
        <v>1</v>
      </c>
      <c r="G29">
        <v>89440001</v>
      </c>
      <c r="H29">
        <v>2</v>
      </c>
      <c r="I29" t="s">
        <v>315</v>
      </c>
      <c r="J29" t="s">
        <v>316</v>
      </c>
      <c r="K29" t="s">
        <v>317</v>
      </c>
      <c r="L29">
        <v>1367</v>
      </c>
      <c r="N29">
        <v>1011</v>
      </c>
      <c r="O29" t="s">
        <v>314</v>
      </c>
      <c r="P29" t="s">
        <v>314</v>
      </c>
      <c r="Q29">
        <v>1</v>
      </c>
      <c r="X29">
        <v>0.997</v>
      </c>
      <c r="Y29">
        <v>0</v>
      </c>
      <c r="Z29">
        <v>110.31</v>
      </c>
      <c r="AA29">
        <v>26.52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0.997</v>
      </c>
      <c r="AH29">
        <v>2</v>
      </c>
      <c r="AI29">
        <v>309316309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ROW(Source!A80)</f>
        <v>80</v>
      </c>
      <c r="B30">
        <v>309489055</v>
      </c>
      <c r="C30">
        <v>309316317</v>
      </c>
      <c r="D30">
        <v>89440730</v>
      </c>
      <c r="E30">
        <v>89440001</v>
      </c>
      <c r="F30">
        <v>1</v>
      </c>
      <c r="G30">
        <v>89440001</v>
      </c>
      <c r="H30">
        <v>2</v>
      </c>
      <c r="I30" t="s">
        <v>305</v>
      </c>
      <c r="J30" t="s">
        <v>3</v>
      </c>
      <c r="K30" t="s">
        <v>306</v>
      </c>
      <c r="L30">
        <v>1344</v>
      </c>
      <c r="N30">
        <v>1008</v>
      </c>
      <c r="O30" t="s">
        <v>307</v>
      </c>
      <c r="P30" t="s">
        <v>307</v>
      </c>
      <c r="Q30">
        <v>1</v>
      </c>
      <c r="X30">
        <v>73.78</v>
      </c>
      <c r="Y30">
        <v>0</v>
      </c>
      <c r="Z30">
        <v>1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73.78</v>
      </c>
      <c r="AH30">
        <v>2</v>
      </c>
      <c r="AI30">
        <v>309316318</v>
      </c>
      <c r="AJ30">
        <v>32</v>
      </c>
      <c r="AK30">
        <v>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ROW(Source!A81)</f>
        <v>81</v>
      </c>
      <c r="B31">
        <v>309316342</v>
      </c>
      <c r="C31">
        <v>309316330</v>
      </c>
      <c r="D31">
        <v>89440730</v>
      </c>
      <c r="E31">
        <v>89440001</v>
      </c>
      <c r="F31">
        <v>1</v>
      </c>
      <c r="G31">
        <v>89440001</v>
      </c>
      <c r="H31">
        <v>2</v>
      </c>
      <c r="I31" t="s">
        <v>305</v>
      </c>
      <c r="J31" t="s">
        <v>3</v>
      </c>
      <c r="K31" t="s">
        <v>306</v>
      </c>
      <c r="L31">
        <v>1344</v>
      </c>
      <c r="N31">
        <v>1008</v>
      </c>
      <c r="O31" t="s">
        <v>307</v>
      </c>
      <c r="P31" t="s">
        <v>307</v>
      </c>
      <c r="Q31">
        <v>1</v>
      </c>
      <c r="X31">
        <v>43.28</v>
      </c>
      <c r="Y31">
        <v>0</v>
      </c>
      <c r="Z31">
        <v>1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43.28</v>
      </c>
      <c r="AH31">
        <v>2</v>
      </c>
      <c r="AI31">
        <v>309316331</v>
      </c>
      <c r="AJ31">
        <v>33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ROW(Source!A82)</f>
        <v>82</v>
      </c>
      <c r="B32">
        <v>309316357</v>
      </c>
      <c r="C32">
        <v>309316344</v>
      </c>
      <c r="D32">
        <v>89440730</v>
      </c>
      <c r="E32">
        <v>89440001</v>
      </c>
      <c r="F32">
        <v>1</v>
      </c>
      <c r="G32">
        <v>89440001</v>
      </c>
      <c r="H32">
        <v>2</v>
      </c>
      <c r="I32" t="s">
        <v>305</v>
      </c>
      <c r="J32" t="s">
        <v>3</v>
      </c>
      <c r="K32" t="s">
        <v>306</v>
      </c>
      <c r="L32">
        <v>1344</v>
      </c>
      <c r="N32">
        <v>1008</v>
      </c>
      <c r="O32" t="s">
        <v>307</v>
      </c>
      <c r="P32" t="s">
        <v>307</v>
      </c>
      <c r="Q32">
        <v>1</v>
      </c>
      <c r="X32">
        <v>27.91</v>
      </c>
      <c r="Y32">
        <v>0</v>
      </c>
      <c r="Z32">
        <v>1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27.91</v>
      </c>
      <c r="AH32">
        <v>2</v>
      </c>
      <c r="AI32">
        <v>309316347</v>
      </c>
      <c r="AJ32">
        <v>34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ROW(Source!A83)</f>
        <v>83</v>
      </c>
      <c r="B33">
        <v>309316363</v>
      </c>
      <c r="C33">
        <v>309316358</v>
      </c>
      <c r="D33">
        <v>89440730</v>
      </c>
      <c r="E33">
        <v>89440001</v>
      </c>
      <c r="F33">
        <v>1</v>
      </c>
      <c r="G33">
        <v>89440001</v>
      </c>
      <c r="H33">
        <v>2</v>
      </c>
      <c r="I33" t="s">
        <v>305</v>
      </c>
      <c r="J33" t="s">
        <v>3</v>
      </c>
      <c r="K33" t="s">
        <v>306</v>
      </c>
      <c r="L33">
        <v>1344</v>
      </c>
      <c r="N33">
        <v>1008</v>
      </c>
      <c r="O33" t="s">
        <v>307</v>
      </c>
      <c r="P33" t="s">
        <v>307</v>
      </c>
      <c r="Q33">
        <v>1</v>
      </c>
      <c r="X33">
        <v>101</v>
      </c>
      <c r="Y33">
        <v>0</v>
      </c>
      <c r="Z33">
        <v>1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101</v>
      </c>
      <c r="AH33">
        <v>2</v>
      </c>
      <c r="AI33">
        <v>309316361</v>
      </c>
      <c r="AJ33">
        <v>35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ROW(Source!A118)</f>
        <v>118</v>
      </c>
      <c r="B34">
        <v>309316370</v>
      </c>
      <c r="C34">
        <v>309316364</v>
      </c>
      <c r="D34">
        <v>89440730</v>
      </c>
      <c r="E34">
        <v>89440001</v>
      </c>
      <c r="F34">
        <v>1</v>
      </c>
      <c r="G34">
        <v>89440001</v>
      </c>
      <c r="H34">
        <v>2</v>
      </c>
      <c r="I34" t="s">
        <v>305</v>
      </c>
      <c r="J34" t="s">
        <v>3</v>
      </c>
      <c r="K34" t="s">
        <v>306</v>
      </c>
      <c r="L34">
        <v>1344</v>
      </c>
      <c r="N34">
        <v>1008</v>
      </c>
      <c r="O34" t="s">
        <v>307</v>
      </c>
      <c r="P34" t="s">
        <v>307</v>
      </c>
      <c r="Q34">
        <v>1</v>
      </c>
      <c r="X34">
        <v>2012</v>
      </c>
      <c r="Y34">
        <v>0</v>
      </c>
      <c r="Z34">
        <v>1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172</v>
      </c>
      <c r="AG34">
        <v>1774.6845999999998</v>
      </c>
      <c r="AH34">
        <v>2</v>
      </c>
      <c r="AI34">
        <v>309316366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ROW(Source!A118)</f>
        <v>118</v>
      </c>
      <c r="B35">
        <v>309316371</v>
      </c>
      <c r="C35">
        <v>309316364</v>
      </c>
      <c r="D35">
        <v>89461287</v>
      </c>
      <c r="E35">
        <v>89440001</v>
      </c>
      <c r="F35">
        <v>1</v>
      </c>
      <c r="G35">
        <v>89440001</v>
      </c>
      <c r="H35">
        <v>3</v>
      </c>
      <c r="I35" t="s">
        <v>27</v>
      </c>
      <c r="J35" t="s">
        <v>3</v>
      </c>
      <c r="K35" t="s">
        <v>28</v>
      </c>
      <c r="L35">
        <v>1348</v>
      </c>
      <c r="N35">
        <v>1009</v>
      </c>
      <c r="O35" t="s">
        <v>29</v>
      </c>
      <c r="P35" t="s">
        <v>29</v>
      </c>
      <c r="Q35">
        <v>1000</v>
      </c>
      <c r="X35">
        <v>0.33600000000000002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171</v>
      </c>
      <c r="AG35">
        <v>0.257712</v>
      </c>
      <c r="AH35">
        <v>2</v>
      </c>
      <c r="AI35">
        <v>309316368</v>
      </c>
      <c r="AJ35">
        <v>37</v>
      </c>
      <c r="AK35">
        <v>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ROW(Source!A118)</f>
        <v>118</v>
      </c>
      <c r="B36">
        <v>309316372</v>
      </c>
      <c r="C36">
        <v>309316364</v>
      </c>
      <c r="D36">
        <v>89461289</v>
      </c>
      <c r="E36">
        <v>89440001</v>
      </c>
      <c r="F36">
        <v>1</v>
      </c>
      <c r="G36">
        <v>89440001</v>
      </c>
      <c r="H36">
        <v>3</v>
      </c>
      <c r="I36" t="s">
        <v>31</v>
      </c>
      <c r="J36" t="s">
        <v>3</v>
      </c>
      <c r="K36" t="s">
        <v>32</v>
      </c>
      <c r="L36">
        <v>1339</v>
      </c>
      <c r="N36">
        <v>1007</v>
      </c>
      <c r="O36" t="s">
        <v>33</v>
      </c>
      <c r="P36" t="s">
        <v>33</v>
      </c>
      <c r="Q36">
        <v>1</v>
      </c>
      <c r="X36">
        <v>23.93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171</v>
      </c>
      <c r="AG36">
        <v>18.354310000000002</v>
      </c>
      <c r="AH36">
        <v>2</v>
      </c>
      <c r="AI36">
        <v>309316369</v>
      </c>
      <c r="AJ36">
        <v>38</v>
      </c>
      <c r="AK36">
        <v>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ROW(Source!A121)</f>
        <v>121</v>
      </c>
      <c r="B37">
        <v>309316392</v>
      </c>
      <c r="C37">
        <v>309316384</v>
      </c>
      <c r="D37">
        <v>89440730</v>
      </c>
      <c r="E37">
        <v>89440001</v>
      </c>
      <c r="F37">
        <v>1</v>
      </c>
      <c r="G37">
        <v>89440001</v>
      </c>
      <c r="H37">
        <v>2</v>
      </c>
      <c r="I37" t="s">
        <v>305</v>
      </c>
      <c r="J37" t="s">
        <v>3</v>
      </c>
      <c r="K37" t="s">
        <v>306</v>
      </c>
      <c r="L37">
        <v>1344</v>
      </c>
      <c r="N37">
        <v>1008</v>
      </c>
      <c r="O37" t="s">
        <v>307</v>
      </c>
      <c r="P37" t="s">
        <v>307</v>
      </c>
      <c r="Q37">
        <v>1</v>
      </c>
      <c r="X37">
        <v>5018</v>
      </c>
      <c r="Y37">
        <v>0</v>
      </c>
      <c r="Z37">
        <v>1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39</v>
      </c>
      <c r="AG37">
        <v>5770.7</v>
      </c>
      <c r="AH37">
        <v>2</v>
      </c>
      <c r="AI37">
        <v>309316386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ROW(Source!A122)</f>
        <v>122</v>
      </c>
      <c r="B38">
        <v>309316407</v>
      </c>
      <c r="C38">
        <v>309316399</v>
      </c>
      <c r="D38">
        <v>89440730</v>
      </c>
      <c r="E38">
        <v>89440001</v>
      </c>
      <c r="F38">
        <v>1</v>
      </c>
      <c r="G38">
        <v>89440001</v>
      </c>
      <c r="H38">
        <v>2</v>
      </c>
      <c r="I38" t="s">
        <v>305</v>
      </c>
      <c r="J38" t="s">
        <v>3</v>
      </c>
      <c r="K38" t="s">
        <v>306</v>
      </c>
      <c r="L38">
        <v>1344</v>
      </c>
      <c r="N38">
        <v>1008</v>
      </c>
      <c r="O38" t="s">
        <v>307</v>
      </c>
      <c r="P38" t="s">
        <v>307</v>
      </c>
      <c r="Q38">
        <v>1</v>
      </c>
      <c r="X38">
        <v>30</v>
      </c>
      <c r="Y38">
        <v>0</v>
      </c>
      <c r="Z38">
        <v>1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39</v>
      </c>
      <c r="AG38">
        <v>34.5</v>
      </c>
      <c r="AH38">
        <v>2</v>
      </c>
      <c r="AI38">
        <v>309316400</v>
      </c>
      <c r="AJ38">
        <v>40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ROW(Source!A122)</f>
        <v>122</v>
      </c>
      <c r="B39">
        <v>309316410</v>
      </c>
      <c r="C39">
        <v>309316399</v>
      </c>
      <c r="D39">
        <v>89461289</v>
      </c>
      <c r="E39">
        <v>89440001</v>
      </c>
      <c r="F39">
        <v>1</v>
      </c>
      <c r="G39">
        <v>89440001</v>
      </c>
      <c r="H39">
        <v>3</v>
      </c>
      <c r="I39" t="s">
        <v>31</v>
      </c>
      <c r="J39" t="s">
        <v>3</v>
      </c>
      <c r="K39" t="s">
        <v>32</v>
      </c>
      <c r="L39">
        <v>1339</v>
      </c>
      <c r="N39">
        <v>1007</v>
      </c>
      <c r="O39" t="s">
        <v>33</v>
      </c>
      <c r="P39" t="s">
        <v>33</v>
      </c>
      <c r="Q39">
        <v>1</v>
      </c>
      <c r="X39">
        <v>0.2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0.2</v>
      </c>
      <c r="AH39">
        <v>2</v>
      </c>
      <c r="AI39">
        <v>309316401</v>
      </c>
      <c r="AJ39">
        <v>41</v>
      </c>
      <c r="AK39">
        <v>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ROW(Source!A124)</f>
        <v>124</v>
      </c>
      <c r="B40">
        <v>309316432</v>
      </c>
      <c r="C40">
        <v>309316420</v>
      </c>
      <c r="D40">
        <v>89440006</v>
      </c>
      <c r="E40">
        <v>89440001</v>
      </c>
      <c r="F40">
        <v>1</v>
      </c>
      <c r="G40">
        <v>89440001</v>
      </c>
      <c r="H40">
        <v>1</v>
      </c>
      <c r="I40" t="s">
        <v>308</v>
      </c>
      <c r="J40" t="s">
        <v>3</v>
      </c>
      <c r="K40" t="s">
        <v>309</v>
      </c>
      <c r="L40">
        <v>1191</v>
      </c>
      <c r="N40">
        <v>1013</v>
      </c>
      <c r="O40" t="s">
        <v>310</v>
      </c>
      <c r="P40" t="s">
        <v>310</v>
      </c>
      <c r="Q40">
        <v>1</v>
      </c>
      <c r="X40">
        <v>1.38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1.38</v>
      </c>
      <c r="AH40">
        <v>2</v>
      </c>
      <c r="AI40">
        <v>309316429</v>
      </c>
      <c r="AJ40">
        <v>42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ROW(Source!A124)</f>
        <v>124</v>
      </c>
      <c r="B41">
        <v>309316433</v>
      </c>
      <c r="C41">
        <v>309316420</v>
      </c>
      <c r="D41">
        <v>89511139</v>
      </c>
      <c r="E41">
        <v>1</v>
      </c>
      <c r="F41">
        <v>1</v>
      </c>
      <c r="G41">
        <v>89440001</v>
      </c>
      <c r="H41">
        <v>2</v>
      </c>
      <c r="I41" t="s">
        <v>311</v>
      </c>
      <c r="J41" t="s">
        <v>312</v>
      </c>
      <c r="K41" t="s">
        <v>313</v>
      </c>
      <c r="L41">
        <v>1367</v>
      </c>
      <c r="N41">
        <v>1011</v>
      </c>
      <c r="O41" t="s">
        <v>314</v>
      </c>
      <c r="P41" t="s">
        <v>314</v>
      </c>
      <c r="Q41">
        <v>1</v>
      </c>
      <c r="X41">
        <v>3.9874999999999998</v>
      </c>
      <c r="Y41">
        <v>0</v>
      </c>
      <c r="Z41">
        <v>162.4</v>
      </c>
      <c r="AA41">
        <v>28.6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3.9874999999999998</v>
      </c>
      <c r="AH41">
        <v>2</v>
      </c>
      <c r="AI41">
        <v>309316430</v>
      </c>
      <c r="AJ41">
        <v>43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ROW(Source!A124)</f>
        <v>124</v>
      </c>
      <c r="B42">
        <v>309316434</v>
      </c>
      <c r="C42">
        <v>309316420</v>
      </c>
      <c r="D42">
        <v>89511164</v>
      </c>
      <c r="E42">
        <v>1</v>
      </c>
      <c r="F42">
        <v>1</v>
      </c>
      <c r="G42">
        <v>89440001</v>
      </c>
      <c r="H42">
        <v>2</v>
      </c>
      <c r="I42" t="s">
        <v>315</v>
      </c>
      <c r="J42" t="s">
        <v>316</v>
      </c>
      <c r="K42" t="s">
        <v>317</v>
      </c>
      <c r="L42">
        <v>1367</v>
      </c>
      <c r="N42">
        <v>1011</v>
      </c>
      <c r="O42" t="s">
        <v>314</v>
      </c>
      <c r="P42" t="s">
        <v>314</v>
      </c>
      <c r="Q42">
        <v>1</v>
      </c>
      <c r="X42">
        <v>0.997</v>
      </c>
      <c r="Y42">
        <v>0</v>
      </c>
      <c r="Z42">
        <v>110.31</v>
      </c>
      <c r="AA42">
        <v>26.52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0.997</v>
      </c>
      <c r="AH42">
        <v>2</v>
      </c>
      <c r="AI42">
        <v>309316431</v>
      </c>
      <c r="AJ42">
        <v>44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ROW(Source!A125)</f>
        <v>125</v>
      </c>
      <c r="B43">
        <v>309547887</v>
      </c>
      <c r="C43">
        <v>309316436</v>
      </c>
      <c r="D43">
        <v>89440730</v>
      </c>
      <c r="E43">
        <v>89440001</v>
      </c>
      <c r="F43">
        <v>1</v>
      </c>
      <c r="G43">
        <v>89440001</v>
      </c>
      <c r="H43">
        <v>2</v>
      </c>
      <c r="I43" t="s">
        <v>305</v>
      </c>
      <c r="J43" t="s">
        <v>3</v>
      </c>
      <c r="K43" t="s">
        <v>306</v>
      </c>
      <c r="L43">
        <v>1344</v>
      </c>
      <c r="N43">
        <v>1008</v>
      </c>
      <c r="O43" t="s">
        <v>307</v>
      </c>
      <c r="P43" t="s">
        <v>307</v>
      </c>
      <c r="Q43">
        <v>1</v>
      </c>
      <c r="X43">
        <v>73.78</v>
      </c>
      <c r="Y43">
        <v>0</v>
      </c>
      <c r="Z43">
        <v>1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73.78</v>
      </c>
      <c r="AH43">
        <v>2</v>
      </c>
      <c r="AI43">
        <v>309316437</v>
      </c>
      <c r="AJ43">
        <v>45</v>
      </c>
      <c r="AK43">
        <v>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ROW(Source!A126)</f>
        <v>126</v>
      </c>
      <c r="B44">
        <v>309316442</v>
      </c>
      <c r="C44">
        <v>309316440</v>
      </c>
      <c r="D44">
        <v>89440730</v>
      </c>
      <c r="E44">
        <v>89440001</v>
      </c>
      <c r="F44">
        <v>1</v>
      </c>
      <c r="G44">
        <v>89440001</v>
      </c>
      <c r="H44">
        <v>2</v>
      </c>
      <c r="I44" t="s">
        <v>305</v>
      </c>
      <c r="J44" t="s">
        <v>3</v>
      </c>
      <c r="K44" t="s">
        <v>306</v>
      </c>
      <c r="L44">
        <v>1344</v>
      </c>
      <c r="N44">
        <v>1008</v>
      </c>
      <c r="O44" t="s">
        <v>307</v>
      </c>
      <c r="P44" t="s">
        <v>307</v>
      </c>
      <c r="Q44">
        <v>1</v>
      </c>
      <c r="X44">
        <v>43.28</v>
      </c>
      <c r="Y44">
        <v>0</v>
      </c>
      <c r="Z44">
        <v>1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43.28</v>
      </c>
      <c r="AH44">
        <v>2</v>
      </c>
      <c r="AI44">
        <v>309316441</v>
      </c>
      <c r="AJ44">
        <v>46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ROW(Source!A127)</f>
        <v>127</v>
      </c>
      <c r="B45">
        <v>309316446</v>
      </c>
      <c r="C45">
        <v>309316444</v>
      </c>
      <c r="D45">
        <v>89440730</v>
      </c>
      <c r="E45">
        <v>89440001</v>
      </c>
      <c r="F45">
        <v>1</v>
      </c>
      <c r="G45">
        <v>89440001</v>
      </c>
      <c r="H45">
        <v>2</v>
      </c>
      <c r="I45" t="s">
        <v>305</v>
      </c>
      <c r="J45" t="s">
        <v>3</v>
      </c>
      <c r="K45" t="s">
        <v>306</v>
      </c>
      <c r="L45">
        <v>1344</v>
      </c>
      <c r="N45">
        <v>1008</v>
      </c>
      <c r="O45" t="s">
        <v>307</v>
      </c>
      <c r="P45" t="s">
        <v>307</v>
      </c>
      <c r="Q45">
        <v>1</v>
      </c>
      <c r="X45">
        <v>27.91</v>
      </c>
      <c r="Y45">
        <v>0</v>
      </c>
      <c r="Z45">
        <v>1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27.91</v>
      </c>
      <c r="AH45">
        <v>2</v>
      </c>
      <c r="AI45">
        <v>309316445</v>
      </c>
      <c r="AJ45">
        <v>47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ROW(Source!A128)</f>
        <v>128</v>
      </c>
      <c r="B46">
        <v>309316450</v>
      </c>
      <c r="C46">
        <v>309316447</v>
      </c>
      <c r="D46">
        <v>89440730</v>
      </c>
      <c r="E46">
        <v>89440001</v>
      </c>
      <c r="F46">
        <v>1</v>
      </c>
      <c r="G46">
        <v>89440001</v>
      </c>
      <c r="H46">
        <v>2</v>
      </c>
      <c r="I46" t="s">
        <v>305</v>
      </c>
      <c r="J46" t="s">
        <v>3</v>
      </c>
      <c r="K46" t="s">
        <v>306</v>
      </c>
      <c r="L46">
        <v>1344</v>
      </c>
      <c r="N46">
        <v>1008</v>
      </c>
      <c r="O46" t="s">
        <v>307</v>
      </c>
      <c r="P46" t="s">
        <v>307</v>
      </c>
      <c r="Q46">
        <v>1</v>
      </c>
      <c r="X46">
        <v>101</v>
      </c>
      <c r="Y46">
        <v>0</v>
      </c>
      <c r="Z46">
        <v>1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101</v>
      </c>
      <c r="AH46">
        <v>2</v>
      </c>
      <c r="AI46">
        <v>309316448</v>
      </c>
      <c r="AJ46">
        <v>48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ROW(Source!A163)</f>
        <v>163</v>
      </c>
      <c r="B47">
        <v>309316454</v>
      </c>
      <c r="C47">
        <v>309316451</v>
      </c>
      <c r="D47">
        <v>89440730</v>
      </c>
      <c r="E47">
        <v>89440001</v>
      </c>
      <c r="F47">
        <v>1</v>
      </c>
      <c r="G47">
        <v>89440001</v>
      </c>
      <c r="H47">
        <v>2</v>
      </c>
      <c r="I47" t="s">
        <v>305</v>
      </c>
      <c r="J47" t="s">
        <v>3</v>
      </c>
      <c r="K47" t="s">
        <v>306</v>
      </c>
      <c r="L47">
        <v>1344</v>
      </c>
      <c r="N47">
        <v>1008</v>
      </c>
      <c r="O47" t="s">
        <v>307</v>
      </c>
      <c r="P47" t="s">
        <v>307</v>
      </c>
      <c r="Q47">
        <v>1</v>
      </c>
      <c r="X47">
        <v>9</v>
      </c>
      <c r="Y47">
        <v>0</v>
      </c>
      <c r="Z47">
        <v>1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194</v>
      </c>
      <c r="AG47">
        <v>2.5874999999999999</v>
      </c>
      <c r="AH47">
        <v>2</v>
      </c>
      <c r="AI47">
        <v>309316453</v>
      </c>
      <c r="AJ47">
        <v>49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ROW(Source!A164)</f>
        <v>164</v>
      </c>
      <c r="B48">
        <v>309555573</v>
      </c>
      <c r="C48">
        <v>309316466</v>
      </c>
      <c r="D48">
        <v>89440730</v>
      </c>
      <c r="E48">
        <v>89440001</v>
      </c>
      <c r="F48">
        <v>1</v>
      </c>
      <c r="G48">
        <v>89440001</v>
      </c>
      <c r="H48">
        <v>2</v>
      </c>
      <c r="I48" t="s">
        <v>305</v>
      </c>
      <c r="J48" t="s">
        <v>3</v>
      </c>
      <c r="K48" t="s">
        <v>306</v>
      </c>
      <c r="L48">
        <v>1344</v>
      </c>
      <c r="N48">
        <v>1008</v>
      </c>
      <c r="O48" t="s">
        <v>307</v>
      </c>
      <c r="P48" t="s">
        <v>307</v>
      </c>
      <c r="Q48">
        <v>1</v>
      </c>
      <c r="X48">
        <v>251</v>
      </c>
      <c r="Y48">
        <v>0</v>
      </c>
      <c r="Z48">
        <v>1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201</v>
      </c>
      <c r="AG48">
        <v>144.32499999999999</v>
      </c>
      <c r="AH48">
        <v>2</v>
      </c>
      <c r="AI48">
        <v>309316471</v>
      </c>
      <c r="AJ48">
        <v>50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ROW(Source!A164)</f>
        <v>164</v>
      </c>
      <c r="B49">
        <v>309555574</v>
      </c>
      <c r="C49">
        <v>309316466</v>
      </c>
      <c r="D49">
        <v>89461289</v>
      </c>
      <c r="E49">
        <v>89440001</v>
      </c>
      <c r="F49">
        <v>1</v>
      </c>
      <c r="G49">
        <v>89440001</v>
      </c>
      <c r="H49">
        <v>3</v>
      </c>
      <c r="I49" t="s">
        <v>31</v>
      </c>
      <c r="J49" t="s">
        <v>3</v>
      </c>
      <c r="K49" t="s">
        <v>32</v>
      </c>
      <c r="L49">
        <v>1339</v>
      </c>
      <c r="N49">
        <v>1007</v>
      </c>
      <c r="O49" t="s">
        <v>33</v>
      </c>
      <c r="P49" t="s">
        <v>33</v>
      </c>
      <c r="Q49">
        <v>1</v>
      </c>
      <c r="X49">
        <v>1.79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200</v>
      </c>
      <c r="AG49">
        <v>0.89500000000000002</v>
      </c>
      <c r="AH49">
        <v>2</v>
      </c>
      <c r="AI49">
        <v>309316472</v>
      </c>
      <c r="AJ49">
        <v>51</v>
      </c>
      <c r="AK49">
        <v>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ROW(Source!A166)</f>
        <v>166</v>
      </c>
      <c r="B50">
        <v>309316481</v>
      </c>
      <c r="C50">
        <v>309316477</v>
      </c>
      <c r="D50">
        <v>89440006</v>
      </c>
      <c r="E50">
        <v>89440001</v>
      </c>
      <c r="F50">
        <v>1</v>
      </c>
      <c r="G50">
        <v>89440001</v>
      </c>
      <c r="H50">
        <v>1</v>
      </c>
      <c r="I50" t="s">
        <v>308</v>
      </c>
      <c r="J50" t="s">
        <v>3</v>
      </c>
      <c r="K50" t="s">
        <v>309</v>
      </c>
      <c r="L50">
        <v>1191</v>
      </c>
      <c r="N50">
        <v>1013</v>
      </c>
      <c r="O50" t="s">
        <v>310</v>
      </c>
      <c r="P50" t="s">
        <v>310</v>
      </c>
      <c r="Q50">
        <v>1</v>
      </c>
      <c r="X50">
        <v>1.38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1.38</v>
      </c>
      <c r="AH50">
        <v>2</v>
      </c>
      <c r="AI50">
        <v>309316478</v>
      </c>
      <c r="AJ50">
        <v>52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ROW(Source!A166)</f>
        <v>166</v>
      </c>
      <c r="B51">
        <v>309316483</v>
      </c>
      <c r="C51">
        <v>309316477</v>
      </c>
      <c r="D51">
        <v>89511139</v>
      </c>
      <c r="E51">
        <v>1</v>
      </c>
      <c r="F51">
        <v>1</v>
      </c>
      <c r="G51">
        <v>89440001</v>
      </c>
      <c r="H51">
        <v>2</v>
      </c>
      <c r="I51" t="s">
        <v>311</v>
      </c>
      <c r="J51" t="s">
        <v>312</v>
      </c>
      <c r="K51" t="s">
        <v>313</v>
      </c>
      <c r="L51">
        <v>1367</v>
      </c>
      <c r="N51">
        <v>1011</v>
      </c>
      <c r="O51" t="s">
        <v>314</v>
      </c>
      <c r="P51" t="s">
        <v>314</v>
      </c>
      <c r="Q51">
        <v>1</v>
      </c>
      <c r="X51">
        <v>3.9874999999999998</v>
      </c>
      <c r="Y51">
        <v>0</v>
      </c>
      <c r="Z51">
        <v>162.4</v>
      </c>
      <c r="AA51">
        <v>28.6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3.9874999999999998</v>
      </c>
      <c r="AH51">
        <v>2</v>
      </c>
      <c r="AI51">
        <v>309316479</v>
      </c>
      <c r="AJ51">
        <v>53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ROW(Source!A166)</f>
        <v>166</v>
      </c>
      <c r="B52">
        <v>309316484</v>
      </c>
      <c r="C52">
        <v>309316477</v>
      </c>
      <c r="D52">
        <v>89511164</v>
      </c>
      <c r="E52">
        <v>1</v>
      </c>
      <c r="F52">
        <v>1</v>
      </c>
      <c r="G52">
        <v>89440001</v>
      </c>
      <c r="H52">
        <v>2</v>
      </c>
      <c r="I52" t="s">
        <v>315</v>
      </c>
      <c r="J52" t="s">
        <v>316</v>
      </c>
      <c r="K52" t="s">
        <v>317</v>
      </c>
      <c r="L52">
        <v>1367</v>
      </c>
      <c r="N52">
        <v>1011</v>
      </c>
      <c r="O52" t="s">
        <v>314</v>
      </c>
      <c r="P52" t="s">
        <v>314</v>
      </c>
      <c r="Q52">
        <v>1</v>
      </c>
      <c r="X52">
        <v>0.997</v>
      </c>
      <c r="Y52">
        <v>0</v>
      </c>
      <c r="Z52">
        <v>110.31</v>
      </c>
      <c r="AA52">
        <v>26.52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0.997</v>
      </c>
      <c r="AH52">
        <v>2</v>
      </c>
      <c r="AI52">
        <v>309316480</v>
      </c>
      <c r="AJ52">
        <v>54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ROW(Source!A167)</f>
        <v>167</v>
      </c>
      <c r="B53">
        <v>309555632</v>
      </c>
      <c r="C53">
        <v>309316485</v>
      </c>
      <c r="D53">
        <v>89440730</v>
      </c>
      <c r="E53">
        <v>89440001</v>
      </c>
      <c r="F53">
        <v>1</v>
      </c>
      <c r="G53">
        <v>89440001</v>
      </c>
      <c r="H53">
        <v>2</v>
      </c>
      <c r="I53" t="s">
        <v>305</v>
      </c>
      <c r="J53" t="s">
        <v>3</v>
      </c>
      <c r="K53" t="s">
        <v>306</v>
      </c>
      <c r="L53">
        <v>1344</v>
      </c>
      <c r="N53">
        <v>1008</v>
      </c>
      <c r="O53" t="s">
        <v>307</v>
      </c>
      <c r="P53" t="s">
        <v>307</v>
      </c>
      <c r="Q53">
        <v>1</v>
      </c>
      <c r="X53">
        <v>73.78</v>
      </c>
      <c r="Y53">
        <v>0</v>
      </c>
      <c r="Z53">
        <v>1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73.78</v>
      </c>
      <c r="AH53">
        <v>2</v>
      </c>
      <c r="AI53">
        <v>309316487</v>
      </c>
      <c r="AJ53">
        <v>55</v>
      </c>
      <c r="AK53">
        <v>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ROW(Source!A168)</f>
        <v>168</v>
      </c>
      <c r="B54">
        <v>309316498</v>
      </c>
      <c r="C54">
        <v>309316493</v>
      </c>
      <c r="D54">
        <v>89440730</v>
      </c>
      <c r="E54">
        <v>89440001</v>
      </c>
      <c r="F54">
        <v>1</v>
      </c>
      <c r="G54">
        <v>89440001</v>
      </c>
      <c r="H54">
        <v>2</v>
      </c>
      <c r="I54" t="s">
        <v>305</v>
      </c>
      <c r="J54" t="s">
        <v>3</v>
      </c>
      <c r="K54" t="s">
        <v>306</v>
      </c>
      <c r="L54">
        <v>1344</v>
      </c>
      <c r="N54">
        <v>1008</v>
      </c>
      <c r="O54" t="s">
        <v>307</v>
      </c>
      <c r="P54" t="s">
        <v>307</v>
      </c>
      <c r="Q54">
        <v>1</v>
      </c>
      <c r="X54">
        <v>43.28</v>
      </c>
      <c r="Y54">
        <v>0</v>
      </c>
      <c r="Z54">
        <v>1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43.28</v>
      </c>
      <c r="AH54">
        <v>2</v>
      </c>
      <c r="AI54">
        <v>309316497</v>
      </c>
      <c r="AJ54">
        <v>56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ROW(Source!A203)</f>
        <v>203</v>
      </c>
      <c r="B55">
        <v>309558003</v>
      </c>
      <c r="C55">
        <v>309316510</v>
      </c>
      <c r="D55">
        <v>89440730</v>
      </c>
      <c r="E55">
        <v>89440001</v>
      </c>
      <c r="F55">
        <v>1</v>
      </c>
      <c r="G55">
        <v>89440001</v>
      </c>
      <c r="H55">
        <v>2</v>
      </c>
      <c r="I55" t="s">
        <v>305</v>
      </c>
      <c r="J55" t="s">
        <v>3</v>
      </c>
      <c r="K55" t="s">
        <v>306</v>
      </c>
      <c r="L55">
        <v>1344</v>
      </c>
      <c r="N55">
        <v>1008</v>
      </c>
      <c r="O55" t="s">
        <v>307</v>
      </c>
      <c r="P55" t="s">
        <v>307</v>
      </c>
      <c r="Q55">
        <v>1</v>
      </c>
      <c r="X55">
        <v>111</v>
      </c>
      <c r="Y55">
        <v>0</v>
      </c>
      <c r="Z55">
        <v>1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39</v>
      </c>
      <c r="AG55">
        <v>127.64999999999999</v>
      </c>
      <c r="AH55">
        <v>2</v>
      </c>
      <c r="AI55">
        <v>309316511</v>
      </c>
      <c r="AJ55">
        <v>57</v>
      </c>
      <c r="AK55">
        <v>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ROW(Source!A204)</f>
        <v>204</v>
      </c>
      <c r="B56">
        <v>309558178</v>
      </c>
      <c r="C56">
        <v>309316514</v>
      </c>
      <c r="D56">
        <v>89440006</v>
      </c>
      <c r="E56">
        <v>89440001</v>
      </c>
      <c r="F56">
        <v>1</v>
      </c>
      <c r="G56">
        <v>89440001</v>
      </c>
      <c r="H56">
        <v>1</v>
      </c>
      <c r="I56" t="s">
        <v>308</v>
      </c>
      <c r="J56" t="s">
        <v>3</v>
      </c>
      <c r="K56" t="s">
        <v>309</v>
      </c>
      <c r="L56">
        <v>1191</v>
      </c>
      <c r="N56">
        <v>1013</v>
      </c>
      <c r="O56" t="s">
        <v>310</v>
      </c>
      <c r="P56" t="s">
        <v>310</v>
      </c>
      <c r="Q56">
        <v>1</v>
      </c>
      <c r="X56">
        <v>812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217</v>
      </c>
      <c r="AG56">
        <v>560.28</v>
      </c>
      <c r="AH56">
        <v>2</v>
      </c>
      <c r="AI56">
        <v>309316515</v>
      </c>
      <c r="AJ56">
        <v>58</v>
      </c>
      <c r="AK56">
        <v>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ROW(Source!A204)</f>
        <v>204</v>
      </c>
      <c r="B57">
        <v>309558179</v>
      </c>
      <c r="C57">
        <v>309316514</v>
      </c>
      <c r="D57">
        <v>89511607</v>
      </c>
      <c r="E57">
        <v>1</v>
      </c>
      <c r="F57">
        <v>1</v>
      </c>
      <c r="G57">
        <v>89440001</v>
      </c>
      <c r="H57">
        <v>2</v>
      </c>
      <c r="I57" t="s">
        <v>343</v>
      </c>
      <c r="J57" t="s">
        <v>344</v>
      </c>
      <c r="K57" t="s">
        <v>345</v>
      </c>
      <c r="L57">
        <v>1367</v>
      </c>
      <c r="N57">
        <v>1011</v>
      </c>
      <c r="O57" t="s">
        <v>314</v>
      </c>
      <c r="P57" t="s">
        <v>314</v>
      </c>
      <c r="Q57">
        <v>1</v>
      </c>
      <c r="X57">
        <v>17.5</v>
      </c>
      <c r="Y57">
        <v>0</v>
      </c>
      <c r="Z57">
        <v>105.81</v>
      </c>
      <c r="AA57">
        <v>18.78</v>
      </c>
      <c r="AB57">
        <v>0</v>
      </c>
      <c r="AC57">
        <v>0</v>
      </c>
      <c r="AD57">
        <v>1</v>
      </c>
      <c r="AE57">
        <v>0</v>
      </c>
      <c r="AF57" t="s">
        <v>217</v>
      </c>
      <c r="AG57">
        <v>12.074999999999999</v>
      </c>
      <c r="AH57">
        <v>2</v>
      </c>
      <c r="AI57">
        <v>309316516</v>
      </c>
      <c r="AJ57">
        <v>59</v>
      </c>
      <c r="AK57">
        <v>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ROW(Source!A204)</f>
        <v>204</v>
      </c>
      <c r="B58">
        <v>309558180</v>
      </c>
      <c r="C58">
        <v>309316514</v>
      </c>
      <c r="D58">
        <v>89511668</v>
      </c>
      <c r="E58">
        <v>1</v>
      </c>
      <c r="F58">
        <v>1</v>
      </c>
      <c r="G58">
        <v>89440001</v>
      </c>
      <c r="H58">
        <v>2</v>
      </c>
      <c r="I58" t="s">
        <v>419</v>
      </c>
      <c r="J58" t="s">
        <v>420</v>
      </c>
      <c r="K58" t="s">
        <v>421</v>
      </c>
      <c r="L58">
        <v>1367</v>
      </c>
      <c r="N58">
        <v>1011</v>
      </c>
      <c r="O58" t="s">
        <v>314</v>
      </c>
      <c r="P58" t="s">
        <v>314</v>
      </c>
      <c r="Q58">
        <v>1</v>
      </c>
      <c r="X58">
        <v>32.799999999999997</v>
      </c>
      <c r="Y58">
        <v>0</v>
      </c>
      <c r="Z58">
        <v>8.1199999999999992</v>
      </c>
      <c r="AA58">
        <v>0.28999999999999998</v>
      </c>
      <c r="AB58">
        <v>0</v>
      </c>
      <c r="AC58">
        <v>0</v>
      </c>
      <c r="AD58">
        <v>1</v>
      </c>
      <c r="AE58">
        <v>0</v>
      </c>
      <c r="AF58" t="s">
        <v>217</v>
      </c>
      <c r="AG58">
        <v>22.631999999999994</v>
      </c>
      <c r="AH58">
        <v>3</v>
      </c>
      <c r="AI58">
        <v>-1</v>
      </c>
      <c r="AJ58" t="s">
        <v>3</v>
      </c>
      <c r="AK58">
        <v>4</v>
      </c>
      <c r="AL58">
        <v>0</v>
      </c>
      <c r="AM58">
        <v>-183.77183999999994</v>
      </c>
      <c r="AN58">
        <v>-6.563279999999998</v>
      </c>
      <c r="AO58">
        <v>0</v>
      </c>
      <c r="AP58">
        <v>0</v>
      </c>
      <c r="AQ58">
        <v>0</v>
      </c>
      <c r="AR58">
        <v>1</v>
      </c>
    </row>
    <row r="59" spans="1:44" x14ac:dyDescent="0.2">
      <c r="A59">
        <f>ROW(Source!A204)</f>
        <v>204</v>
      </c>
      <c r="B59">
        <v>309558181</v>
      </c>
      <c r="C59">
        <v>309316514</v>
      </c>
      <c r="D59">
        <v>89511695</v>
      </c>
      <c r="E59">
        <v>1</v>
      </c>
      <c r="F59">
        <v>1</v>
      </c>
      <c r="G59">
        <v>89440001</v>
      </c>
      <c r="H59">
        <v>2</v>
      </c>
      <c r="I59" t="s">
        <v>346</v>
      </c>
      <c r="J59" t="s">
        <v>347</v>
      </c>
      <c r="K59" t="s">
        <v>348</v>
      </c>
      <c r="L59">
        <v>1367</v>
      </c>
      <c r="N59">
        <v>1011</v>
      </c>
      <c r="O59" t="s">
        <v>314</v>
      </c>
      <c r="P59" t="s">
        <v>314</v>
      </c>
      <c r="Q59">
        <v>1</v>
      </c>
      <c r="X59">
        <v>260</v>
      </c>
      <c r="Y59">
        <v>0</v>
      </c>
      <c r="Z59">
        <v>36.770000000000003</v>
      </c>
      <c r="AA59">
        <v>2.63</v>
      </c>
      <c r="AB59">
        <v>0</v>
      </c>
      <c r="AC59">
        <v>0</v>
      </c>
      <c r="AD59">
        <v>1</v>
      </c>
      <c r="AE59">
        <v>0</v>
      </c>
      <c r="AF59" t="s">
        <v>217</v>
      </c>
      <c r="AG59">
        <v>179.4</v>
      </c>
      <c r="AH59">
        <v>2</v>
      </c>
      <c r="AI59">
        <v>309316517</v>
      </c>
      <c r="AJ59">
        <v>60</v>
      </c>
      <c r="AK59">
        <v>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ROW(Source!A204)</f>
        <v>204</v>
      </c>
      <c r="B60">
        <v>309558182</v>
      </c>
      <c r="C60">
        <v>309316514</v>
      </c>
      <c r="D60">
        <v>89511984</v>
      </c>
      <c r="E60">
        <v>1</v>
      </c>
      <c r="F60">
        <v>1</v>
      </c>
      <c r="G60">
        <v>89440001</v>
      </c>
      <c r="H60">
        <v>2</v>
      </c>
      <c r="I60" t="s">
        <v>327</v>
      </c>
      <c r="J60" t="s">
        <v>328</v>
      </c>
      <c r="K60" t="s">
        <v>329</v>
      </c>
      <c r="L60">
        <v>1367</v>
      </c>
      <c r="N60">
        <v>1011</v>
      </c>
      <c r="O60" t="s">
        <v>314</v>
      </c>
      <c r="P60" t="s">
        <v>314</v>
      </c>
      <c r="Q60">
        <v>1</v>
      </c>
      <c r="X60">
        <v>0.5</v>
      </c>
      <c r="Y60">
        <v>0</v>
      </c>
      <c r="Z60">
        <v>76.81</v>
      </c>
      <c r="AA60">
        <v>14.36</v>
      </c>
      <c r="AB60">
        <v>0</v>
      </c>
      <c r="AC60">
        <v>0</v>
      </c>
      <c r="AD60">
        <v>1</v>
      </c>
      <c r="AE60">
        <v>0</v>
      </c>
      <c r="AF60" t="s">
        <v>217</v>
      </c>
      <c r="AG60">
        <v>0.34499999999999997</v>
      </c>
      <c r="AH60">
        <v>2</v>
      </c>
      <c r="AI60">
        <v>309316519</v>
      </c>
      <c r="AJ60">
        <v>62</v>
      </c>
      <c r="AK60">
        <v>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ROW(Source!A204)</f>
        <v>204</v>
      </c>
      <c r="B61">
        <v>309558184</v>
      </c>
      <c r="C61">
        <v>309316514</v>
      </c>
      <c r="D61">
        <v>89512030</v>
      </c>
      <c r="E61">
        <v>1</v>
      </c>
      <c r="F61">
        <v>1</v>
      </c>
      <c r="G61">
        <v>89440001</v>
      </c>
      <c r="H61">
        <v>2</v>
      </c>
      <c r="I61" t="s">
        <v>352</v>
      </c>
      <c r="J61" t="s">
        <v>353</v>
      </c>
      <c r="K61" t="s">
        <v>354</v>
      </c>
      <c r="L61">
        <v>1367</v>
      </c>
      <c r="N61">
        <v>1011</v>
      </c>
      <c r="O61" t="s">
        <v>314</v>
      </c>
      <c r="P61" t="s">
        <v>314</v>
      </c>
      <c r="Q61">
        <v>1</v>
      </c>
      <c r="X61">
        <v>49.5</v>
      </c>
      <c r="Y61">
        <v>0</v>
      </c>
      <c r="Z61">
        <v>0.68</v>
      </c>
      <c r="AA61">
        <v>0.04</v>
      </c>
      <c r="AB61">
        <v>0</v>
      </c>
      <c r="AC61">
        <v>0</v>
      </c>
      <c r="AD61">
        <v>1</v>
      </c>
      <c r="AE61">
        <v>0</v>
      </c>
      <c r="AF61" t="s">
        <v>217</v>
      </c>
      <c r="AG61">
        <v>34.154999999999994</v>
      </c>
      <c r="AH61">
        <v>2</v>
      </c>
      <c r="AI61">
        <v>309316529</v>
      </c>
      <c r="AJ61">
        <v>63</v>
      </c>
      <c r="AK61">
        <v>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ROW(Source!A204)</f>
        <v>204</v>
      </c>
      <c r="B62">
        <v>309558183</v>
      </c>
      <c r="C62">
        <v>309316514</v>
      </c>
      <c r="D62">
        <v>89511231</v>
      </c>
      <c r="E62">
        <v>1</v>
      </c>
      <c r="F62">
        <v>1</v>
      </c>
      <c r="G62">
        <v>89440001</v>
      </c>
      <c r="H62">
        <v>2</v>
      </c>
      <c r="I62" t="s">
        <v>358</v>
      </c>
      <c r="J62" t="s">
        <v>359</v>
      </c>
      <c r="K62" t="s">
        <v>360</v>
      </c>
      <c r="L62">
        <v>1367</v>
      </c>
      <c r="N62">
        <v>1011</v>
      </c>
      <c r="O62" t="s">
        <v>314</v>
      </c>
      <c r="P62" t="s">
        <v>314</v>
      </c>
      <c r="Q62">
        <v>1</v>
      </c>
      <c r="X62">
        <v>68.7</v>
      </c>
      <c r="Y62">
        <v>0</v>
      </c>
      <c r="Z62">
        <v>123.84</v>
      </c>
      <c r="AA62">
        <v>30.41</v>
      </c>
      <c r="AB62">
        <v>0</v>
      </c>
      <c r="AC62">
        <v>0</v>
      </c>
      <c r="AD62">
        <v>1</v>
      </c>
      <c r="AE62">
        <v>0</v>
      </c>
      <c r="AF62" t="s">
        <v>217</v>
      </c>
      <c r="AG62">
        <v>47.402999999999999</v>
      </c>
      <c r="AH62">
        <v>2</v>
      </c>
      <c r="AI62">
        <v>309316521</v>
      </c>
      <c r="AJ62">
        <v>65</v>
      </c>
      <c r="AK62">
        <v>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ROW(Source!A204)</f>
        <v>204</v>
      </c>
      <c r="B63">
        <v>309558185</v>
      </c>
      <c r="C63">
        <v>309316514</v>
      </c>
      <c r="D63">
        <v>89440730</v>
      </c>
      <c r="E63">
        <v>89440001</v>
      </c>
      <c r="F63">
        <v>1</v>
      </c>
      <c r="G63">
        <v>89440001</v>
      </c>
      <c r="H63">
        <v>2</v>
      </c>
      <c r="I63" t="s">
        <v>305</v>
      </c>
      <c r="J63" t="s">
        <v>3</v>
      </c>
      <c r="K63" t="s">
        <v>306</v>
      </c>
      <c r="L63">
        <v>1344</v>
      </c>
      <c r="N63">
        <v>1008</v>
      </c>
      <c r="O63" t="s">
        <v>307</v>
      </c>
      <c r="P63" t="s">
        <v>307</v>
      </c>
      <c r="Q63">
        <v>1</v>
      </c>
      <c r="X63">
        <v>0.02</v>
      </c>
      <c r="Y63">
        <v>0</v>
      </c>
      <c r="Z63">
        <v>1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217</v>
      </c>
      <c r="AG63">
        <v>1.38E-2</v>
      </c>
      <c r="AH63">
        <v>3</v>
      </c>
      <c r="AI63">
        <v>-1</v>
      </c>
      <c r="AJ63" t="s">
        <v>3</v>
      </c>
      <c r="AK63">
        <v>4</v>
      </c>
      <c r="AL63">
        <v>0</v>
      </c>
      <c r="AM63">
        <v>-1.38E-2</v>
      </c>
      <c r="AN63">
        <v>0</v>
      </c>
      <c r="AO63">
        <v>0</v>
      </c>
      <c r="AP63">
        <v>0</v>
      </c>
      <c r="AQ63">
        <v>0</v>
      </c>
      <c r="AR63">
        <v>1</v>
      </c>
    </row>
    <row r="64" spans="1:44" x14ac:dyDescent="0.2">
      <c r="A64">
        <f>ROW(Source!A204)</f>
        <v>204</v>
      </c>
      <c r="B64">
        <v>309558186</v>
      </c>
      <c r="C64">
        <v>309316514</v>
      </c>
      <c r="D64">
        <v>89487091</v>
      </c>
      <c r="E64">
        <v>1</v>
      </c>
      <c r="F64">
        <v>1</v>
      </c>
      <c r="G64">
        <v>89440001</v>
      </c>
      <c r="H64">
        <v>3</v>
      </c>
      <c r="I64" t="s">
        <v>361</v>
      </c>
      <c r="J64" t="s">
        <v>362</v>
      </c>
      <c r="K64" t="s">
        <v>363</v>
      </c>
      <c r="L64">
        <v>1339</v>
      </c>
      <c r="N64">
        <v>1007</v>
      </c>
      <c r="O64" t="s">
        <v>33</v>
      </c>
      <c r="P64" t="s">
        <v>33</v>
      </c>
      <c r="Q64">
        <v>1</v>
      </c>
      <c r="X64">
        <v>375</v>
      </c>
      <c r="Y64">
        <v>7.07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216</v>
      </c>
      <c r="AG64">
        <v>0</v>
      </c>
      <c r="AH64">
        <v>2</v>
      </c>
      <c r="AI64">
        <v>309316531</v>
      </c>
      <c r="AJ64">
        <v>66</v>
      </c>
      <c r="AK64">
        <v>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ROW(Source!A204)</f>
        <v>204</v>
      </c>
      <c r="B65">
        <v>309558187</v>
      </c>
      <c r="C65">
        <v>309316514</v>
      </c>
      <c r="D65">
        <v>89488403</v>
      </c>
      <c r="E65">
        <v>1</v>
      </c>
      <c r="F65">
        <v>1</v>
      </c>
      <c r="G65">
        <v>89440001</v>
      </c>
      <c r="H65">
        <v>3</v>
      </c>
      <c r="I65" t="s">
        <v>364</v>
      </c>
      <c r="J65" t="s">
        <v>365</v>
      </c>
      <c r="K65" t="s">
        <v>366</v>
      </c>
      <c r="L65">
        <v>1348</v>
      </c>
      <c r="N65">
        <v>1009</v>
      </c>
      <c r="O65" t="s">
        <v>29</v>
      </c>
      <c r="P65" t="s">
        <v>29</v>
      </c>
      <c r="Q65">
        <v>1000</v>
      </c>
      <c r="X65">
        <v>0.186</v>
      </c>
      <c r="Y65">
        <v>7191.81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216</v>
      </c>
      <c r="AG65">
        <v>0</v>
      </c>
      <c r="AH65">
        <v>2</v>
      </c>
      <c r="AI65">
        <v>309316532</v>
      </c>
      <c r="AJ65">
        <v>67</v>
      </c>
      <c r="AK65">
        <v>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ROW(Source!A204)</f>
        <v>204</v>
      </c>
      <c r="B66">
        <v>309558188</v>
      </c>
      <c r="C66">
        <v>309316514</v>
      </c>
      <c r="D66">
        <v>89488436</v>
      </c>
      <c r="E66">
        <v>1</v>
      </c>
      <c r="F66">
        <v>1</v>
      </c>
      <c r="G66">
        <v>89440001</v>
      </c>
      <c r="H66">
        <v>3</v>
      </c>
      <c r="I66" t="s">
        <v>367</v>
      </c>
      <c r="J66" t="s">
        <v>368</v>
      </c>
      <c r="K66" t="s">
        <v>369</v>
      </c>
      <c r="L66">
        <v>1354</v>
      </c>
      <c r="N66">
        <v>16987630</v>
      </c>
      <c r="O66" t="s">
        <v>370</v>
      </c>
      <c r="P66" t="s">
        <v>370</v>
      </c>
      <c r="Q66">
        <v>1</v>
      </c>
      <c r="X66">
        <v>4.95</v>
      </c>
      <c r="Y66">
        <v>13.76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216</v>
      </c>
      <c r="AG66">
        <v>0</v>
      </c>
      <c r="AH66">
        <v>2</v>
      </c>
      <c r="AI66">
        <v>309316533</v>
      </c>
      <c r="AJ66">
        <v>68</v>
      </c>
      <c r="AK66">
        <v>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ROW(Source!A204)</f>
        <v>204</v>
      </c>
      <c r="B67">
        <v>309558189</v>
      </c>
      <c r="C67">
        <v>309316514</v>
      </c>
      <c r="D67">
        <v>89487224</v>
      </c>
      <c r="E67">
        <v>1</v>
      </c>
      <c r="F67">
        <v>1</v>
      </c>
      <c r="G67">
        <v>89440001</v>
      </c>
      <c r="H67">
        <v>3</v>
      </c>
      <c r="I67" t="s">
        <v>371</v>
      </c>
      <c r="J67" t="s">
        <v>372</v>
      </c>
      <c r="K67" t="s">
        <v>373</v>
      </c>
      <c r="L67">
        <v>1348</v>
      </c>
      <c r="N67">
        <v>1009</v>
      </c>
      <c r="O67" t="s">
        <v>29</v>
      </c>
      <c r="P67" t="s">
        <v>29</v>
      </c>
      <c r="Q67">
        <v>1000</v>
      </c>
      <c r="X67">
        <v>2.1999999999999999E-2</v>
      </c>
      <c r="Y67">
        <v>3246.35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216</v>
      </c>
      <c r="AG67">
        <v>0</v>
      </c>
      <c r="AH67">
        <v>2</v>
      </c>
      <c r="AI67">
        <v>309316534</v>
      </c>
      <c r="AJ67">
        <v>69</v>
      </c>
      <c r="AK67">
        <v>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ROW(Source!A204)</f>
        <v>204</v>
      </c>
      <c r="B68">
        <v>309558190</v>
      </c>
      <c r="C68">
        <v>309316514</v>
      </c>
      <c r="D68">
        <v>89494342</v>
      </c>
      <c r="E68">
        <v>1</v>
      </c>
      <c r="F68">
        <v>1</v>
      </c>
      <c r="G68">
        <v>89440001</v>
      </c>
      <c r="H68">
        <v>3</v>
      </c>
      <c r="I68" t="s">
        <v>422</v>
      </c>
      <c r="J68" t="s">
        <v>423</v>
      </c>
      <c r="K68" t="s">
        <v>424</v>
      </c>
      <c r="L68">
        <v>1391</v>
      </c>
      <c r="N68">
        <v>1013</v>
      </c>
      <c r="O68" t="s">
        <v>157</v>
      </c>
      <c r="P68" t="s">
        <v>157</v>
      </c>
      <c r="Q68">
        <v>1</v>
      </c>
      <c r="X68">
        <v>5</v>
      </c>
      <c r="Y68">
        <v>66.87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216</v>
      </c>
      <c r="AG68">
        <v>0</v>
      </c>
      <c r="AH68">
        <v>3</v>
      </c>
      <c r="AI68">
        <v>-1</v>
      </c>
      <c r="AJ68" t="s">
        <v>3</v>
      </c>
      <c r="AK68">
        <v>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ROW(Source!A204)</f>
        <v>204</v>
      </c>
      <c r="B69">
        <v>309558191</v>
      </c>
      <c r="C69">
        <v>309316514</v>
      </c>
      <c r="D69">
        <v>89494347</v>
      </c>
      <c r="E69">
        <v>1</v>
      </c>
      <c r="F69">
        <v>1</v>
      </c>
      <c r="G69">
        <v>89440001</v>
      </c>
      <c r="H69">
        <v>3</v>
      </c>
      <c r="I69" t="s">
        <v>377</v>
      </c>
      <c r="J69" t="s">
        <v>378</v>
      </c>
      <c r="K69" t="s">
        <v>379</v>
      </c>
      <c r="L69">
        <v>1391</v>
      </c>
      <c r="N69">
        <v>1013</v>
      </c>
      <c r="O69" t="s">
        <v>157</v>
      </c>
      <c r="P69" t="s">
        <v>157</v>
      </c>
      <c r="Q69">
        <v>1</v>
      </c>
      <c r="X69">
        <v>4</v>
      </c>
      <c r="Y69">
        <v>207.77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216</v>
      </c>
      <c r="AG69">
        <v>0</v>
      </c>
      <c r="AH69">
        <v>2</v>
      </c>
      <c r="AI69">
        <v>309316541</v>
      </c>
      <c r="AJ69">
        <v>71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ROW(Source!A204)</f>
        <v>204</v>
      </c>
      <c r="B70">
        <v>309558192</v>
      </c>
      <c r="C70">
        <v>309316514</v>
      </c>
      <c r="D70">
        <v>89494998</v>
      </c>
      <c r="E70">
        <v>1</v>
      </c>
      <c r="F70">
        <v>1</v>
      </c>
      <c r="G70">
        <v>89440001</v>
      </c>
      <c r="H70">
        <v>3</v>
      </c>
      <c r="I70" t="s">
        <v>425</v>
      </c>
      <c r="J70" t="s">
        <v>426</v>
      </c>
      <c r="K70" t="s">
        <v>427</v>
      </c>
      <c r="L70">
        <v>1354</v>
      </c>
      <c r="N70">
        <v>16987630</v>
      </c>
      <c r="O70" t="s">
        <v>370</v>
      </c>
      <c r="P70" t="s">
        <v>370</v>
      </c>
      <c r="Q70">
        <v>1</v>
      </c>
      <c r="X70">
        <v>5</v>
      </c>
      <c r="Y70">
        <v>612.04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216</v>
      </c>
      <c r="AG70">
        <v>0</v>
      </c>
      <c r="AH70">
        <v>3</v>
      </c>
      <c r="AI70">
        <v>-1</v>
      </c>
      <c r="AJ70" t="s">
        <v>3</v>
      </c>
      <c r="AK70">
        <v>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ROW(Source!A204)</f>
        <v>204</v>
      </c>
      <c r="B71">
        <v>309558193</v>
      </c>
      <c r="C71">
        <v>309316514</v>
      </c>
      <c r="D71">
        <v>89456268</v>
      </c>
      <c r="E71">
        <v>89440001</v>
      </c>
      <c r="F71">
        <v>1</v>
      </c>
      <c r="G71">
        <v>89440001</v>
      </c>
      <c r="H71">
        <v>3</v>
      </c>
      <c r="I71" t="s">
        <v>428</v>
      </c>
      <c r="J71" t="s">
        <v>3</v>
      </c>
      <c r="K71" t="s">
        <v>429</v>
      </c>
      <c r="L71">
        <v>1301</v>
      </c>
      <c r="N71">
        <v>1003</v>
      </c>
      <c r="O71" t="s">
        <v>142</v>
      </c>
      <c r="P71" t="s">
        <v>142</v>
      </c>
      <c r="Q71">
        <v>1</v>
      </c>
      <c r="X71">
        <v>1000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 t="s">
        <v>216</v>
      </c>
      <c r="AG71">
        <v>0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ROW(Source!A204)</f>
        <v>204</v>
      </c>
      <c r="B72">
        <v>309558194</v>
      </c>
      <c r="C72">
        <v>309316514</v>
      </c>
      <c r="D72">
        <v>89456438</v>
      </c>
      <c r="E72">
        <v>89440001</v>
      </c>
      <c r="F72">
        <v>1</v>
      </c>
      <c r="G72">
        <v>89440001</v>
      </c>
      <c r="H72">
        <v>3</v>
      </c>
      <c r="I72" t="s">
        <v>430</v>
      </c>
      <c r="J72" t="s">
        <v>3</v>
      </c>
      <c r="K72" t="s">
        <v>431</v>
      </c>
      <c r="L72">
        <v>1348</v>
      </c>
      <c r="N72">
        <v>1009</v>
      </c>
      <c r="O72" t="s">
        <v>29</v>
      </c>
      <c r="P72" t="s">
        <v>29</v>
      </c>
      <c r="Q72">
        <v>1000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216</v>
      </c>
      <c r="AG72">
        <v>0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ROW(Source!A204)</f>
        <v>204</v>
      </c>
      <c r="B73">
        <v>309558195</v>
      </c>
      <c r="C73">
        <v>309316514</v>
      </c>
      <c r="D73">
        <v>89455920</v>
      </c>
      <c r="E73">
        <v>89440001</v>
      </c>
      <c r="F73">
        <v>1</v>
      </c>
      <c r="G73">
        <v>89440001</v>
      </c>
      <c r="H73">
        <v>3</v>
      </c>
      <c r="I73" t="s">
        <v>432</v>
      </c>
      <c r="J73" t="s">
        <v>3</v>
      </c>
      <c r="K73" t="s">
        <v>433</v>
      </c>
      <c r="L73">
        <v>1354</v>
      </c>
      <c r="N73">
        <v>16987630</v>
      </c>
      <c r="O73" t="s">
        <v>370</v>
      </c>
      <c r="P73" t="s">
        <v>370</v>
      </c>
      <c r="Q73">
        <v>1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 t="s">
        <v>216</v>
      </c>
      <c r="AG73">
        <v>0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ROW(Source!A204)</f>
        <v>204</v>
      </c>
      <c r="B74">
        <v>309558196</v>
      </c>
      <c r="C74">
        <v>309316514</v>
      </c>
      <c r="D74">
        <v>89455918</v>
      </c>
      <c r="E74">
        <v>89440001</v>
      </c>
      <c r="F74">
        <v>1</v>
      </c>
      <c r="G74">
        <v>89440001</v>
      </c>
      <c r="H74">
        <v>3</v>
      </c>
      <c r="I74" t="s">
        <v>434</v>
      </c>
      <c r="J74" t="s">
        <v>3</v>
      </c>
      <c r="K74" t="s">
        <v>435</v>
      </c>
      <c r="L74">
        <v>1354</v>
      </c>
      <c r="N74">
        <v>16987630</v>
      </c>
      <c r="O74" t="s">
        <v>370</v>
      </c>
      <c r="P74" t="s">
        <v>370</v>
      </c>
      <c r="Q74">
        <v>1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216</v>
      </c>
      <c r="AG74">
        <v>0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ROW(Source!A204)</f>
        <v>204</v>
      </c>
      <c r="B75">
        <v>309558197</v>
      </c>
      <c r="C75">
        <v>309316514</v>
      </c>
      <c r="D75">
        <v>89453031</v>
      </c>
      <c r="E75">
        <v>89440001</v>
      </c>
      <c r="F75">
        <v>1</v>
      </c>
      <c r="G75">
        <v>89440001</v>
      </c>
      <c r="H75">
        <v>3</v>
      </c>
      <c r="I75" t="s">
        <v>436</v>
      </c>
      <c r="J75" t="s">
        <v>3</v>
      </c>
      <c r="K75" t="s">
        <v>437</v>
      </c>
      <c r="L75">
        <v>1354</v>
      </c>
      <c r="N75">
        <v>16987630</v>
      </c>
      <c r="O75" t="s">
        <v>370</v>
      </c>
      <c r="P75" t="s">
        <v>370</v>
      </c>
      <c r="Q75">
        <v>1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 t="s">
        <v>216</v>
      </c>
      <c r="AG75">
        <v>0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ROW(Source!A207)</f>
        <v>207</v>
      </c>
      <c r="B76">
        <v>309316603</v>
      </c>
      <c r="C76">
        <v>309316599</v>
      </c>
      <c r="D76">
        <v>89440006</v>
      </c>
      <c r="E76">
        <v>89440001</v>
      </c>
      <c r="F76">
        <v>1</v>
      </c>
      <c r="G76">
        <v>89440001</v>
      </c>
      <c r="H76">
        <v>1</v>
      </c>
      <c r="I76" t="s">
        <v>308</v>
      </c>
      <c r="J76" t="s">
        <v>3</v>
      </c>
      <c r="K76" t="s">
        <v>309</v>
      </c>
      <c r="L76">
        <v>1191</v>
      </c>
      <c r="N76">
        <v>1013</v>
      </c>
      <c r="O76" t="s">
        <v>310</v>
      </c>
      <c r="P76" t="s">
        <v>310</v>
      </c>
      <c r="Q76">
        <v>1</v>
      </c>
      <c r="X76">
        <v>19.100000000000001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230</v>
      </c>
      <c r="AG76">
        <v>21.01</v>
      </c>
      <c r="AH76">
        <v>2</v>
      </c>
      <c r="AI76">
        <v>309316600</v>
      </c>
      <c r="AJ76">
        <v>75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ROW(Source!A209)</f>
        <v>209</v>
      </c>
      <c r="B77">
        <v>309316637</v>
      </c>
      <c r="C77">
        <v>309316620</v>
      </c>
      <c r="D77">
        <v>89440006</v>
      </c>
      <c r="E77">
        <v>89440001</v>
      </c>
      <c r="F77">
        <v>1</v>
      </c>
      <c r="G77">
        <v>89440001</v>
      </c>
      <c r="H77">
        <v>1</v>
      </c>
      <c r="I77" t="s">
        <v>308</v>
      </c>
      <c r="J77" t="s">
        <v>3</v>
      </c>
      <c r="K77" t="s">
        <v>309</v>
      </c>
      <c r="L77">
        <v>1191</v>
      </c>
      <c r="N77">
        <v>1013</v>
      </c>
      <c r="O77" t="s">
        <v>310</v>
      </c>
      <c r="P77" t="s">
        <v>310</v>
      </c>
      <c r="Q77">
        <v>1</v>
      </c>
      <c r="X77">
        <v>2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217</v>
      </c>
      <c r="AG77">
        <v>1.38</v>
      </c>
      <c r="AH77">
        <v>2</v>
      </c>
      <c r="AI77">
        <v>309316624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ROW(Source!A209)</f>
        <v>209</v>
      </c>
      <c r="B78">
        <v>309316638</v>
      </c>
      <c r="C78">
        <v>309316620</v>
      </c>
      <c r="D78">
        <v>89440730</v>
      </c>
      <c r="E78">
        <v>89440001</v>
      </c>
      <c r="F78">
        <v>1</v>
      </c>
      <c r="G78">
        <v>89440001</v>
      </c>
      <c r="H78">
        <v>2</v>
      </c>
      <c r="I78" t="s">
        <v>305</v>
      </c>
      <c r="J78" t="s">
        <v>3</v>
      </c>
      <c r="K78" t="s">
        <v>306</v>
      </c>
      <c r="L78">
        <v>1344</v>
      </c>
      <c r="N78">
        <v>1008</v>
      </c>
      <c r="O78" t="s">
        <v>307</v>
      </c>
      <c r="P78" t="s">
        <v>307</v>
      </c>
      <c r="Q78">
        <v>1</v>
      </c>
      <c r="X78">
        <v>3.97</v>
      </c>
      <c r="Y78">
        <v>0</v>
      </c>
      <c r="Z78">
        <v>1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217</v>
      </c>
      <c r="AG78">
        <v>2.7393000000000001</v>
      </c>
      <c r="AH78">
        <v>2</v>
      </c>
      <c r="AI78">
        <v>309316625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ROW(Source!A209)</f>
        <v>209</v>
      </c>
      <c r="B79">
        <v>309316639</v>
      </c>
      <c r="C79">
        <v>309316620</v>
      </c>
      <c r="D79">
        <v>89487942</v>
      </c>
      <c r="E79">
        <v>1</v>
      </c>
      <c r="F79">
        <v>1</v>
      </c>
      <c r="G79">
        <v>89440001</v>
      </c>
      <c r="H79">
        <v>3</v>
      </c>
      <c r="I79" t="s">
        <v>383</v>
      </c>
      <c r="J79" t="s">
        <v>384</v>
      </c>
      <c r="K79" t="s">
        <v>385</v>
      </c>
      <c r="L79">
        <v>1348</v>
      </c>
      <c r="N79">
        <v>1009</v>
      </c>
      <c r="O79" t="s">
        <v>29</v>
      </c>
      <c r="P79" t="s">
        <v>29</v>
      </c>
      <c r="Q79">
        <v>1000</v>
      </c>
      <c r="X79">
        <v>5.0000000000000001E-4</v>
      </c>
      <c r="Y79">
        <v>11791.78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216</v>
      </c>
      <c r="AG79">
        <v>0</v>
      </c>
      <c r="AH79">
        <v>2</v>
      </c>
      <c r="AI79">
        <v>309316626</v>
      </c>
      <c r="AJ79">
        <v>80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ROW(Source!A209)</f>
        <v>209</v>
      </c>
      <c r="B80">
        <v>309316640</v>
      </c>
      <c r="C80">
        <v>309316620</v>
      </c>
      <c r="D80">
        <v>89487477</v>
      </c>
      <c r="E80">
        <v>1</v>
      </c>
      <c r="F80">
        <v>1</v>
      </c>
      <c r="G80">
        <v>89440001</v>
      </c>
      <c r="H80">
        <v>3</v>
      </c>
      <c r="I80" t="s">
        <v>386</v>
      </c>
      <c r="J80" t="s">
        <v>387</v>
      </c>
      <c r="K80" t="s">
        <v>388</v>
      </c>
      <c r="L80">
        <v>1346</v>
      </c>
      <c r="N80">
        <v>1009</v>
      </c>
      <c r="O80" t="s">
        <v>389</v>
      </c>
      <c r="P80" t="s">
        <v>389</v>
      </c>
      <c r="Q80">
        <v>1</v>
      </c>
      <c r="X80">
        <v>0.12</v>
      </c>
      <c r="Y80">
        <v>5.0199999999999996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216</v>
      </c>
      <c r="AG80">
        <v>0</v>
      </c>
      <c r="AH80">
        <v>2</v>
      </c>
      <c r="AI80">
        <v>309316628</v>
      </c>
      <c r="AJ80">
        <v>81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ROW(Source!A209)</f>
        <v>209</v>
      </c>
      <c r="B81">
        <v>309316641</v>
      </c>
      <c r="C81">
        <v>309316620</v>
      </c>
      <c r="D81">
        <v>89508886</v>
      </c>
      <c r="E81">
        <v>1</v>
      </c>
      <c r="F81">
        <v>1</v>
      </c>
      <c r="G81">
        <v>89440001</v>
      </c>
      <c r="H81">
        <v>3</v>
      </c>
      <c r="I81" t="s">
        <v>390</v>
      </c>
      <c r="J81" t="s">
        <v>391</v>
      </c>
      <c r="K81" t="s">
        <v>392</v>
      </c>
      <c r="L81">
        <v>1327</v>
      </c>
      <c r="N81">
        <v>1005</v>
      </c>
      <c r="O81" t="s">
        <v>336</v>
      </c>
      <c r="P81" t="s">
        <v>336</v>
      </c>
      <c r="Q81">
        <v>1</v>
      </c>
      <c r="X81">
        <v>1.2</v>
      </c>
      <c r="Y81">
        <v>49.5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216</v>
      </c>
      <c r="AG81">
        <v>0</v>
      </c>
      <c r="AH81">
        <v>2</v>
      </c>
      <c r="AI81">
        <v>309316631</v>
      </c>
      <c r="AJ81">
        <v>82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ROW(Source!A209)</f>
        <v>209</v>
      </c>
      <c r="B82">
        <v>309316642</v>
      </c>
      <c r="C82">
        <v>309316620</v>
      </c>
      <c r="D82">
        <v>89461301</v>
      </c>
      <c r="E82">
        <v>89440001</v>
      </c>
      <c r="F82">
        <v>1</v>
      </c>
      <c r="G82">
        <v>89440001</v>
      </c>
      <c r="H82">
        <v>3</v>
      </c>
      <c r="I82" t="s">
        <v>393</v>
      </c>
      <c r="J82" t="s">
        <v>3</v>
      </c>
      <c r="K82" t="s">
        <v>394</v>
      </c>
      <c r="L82">
        <v>1344</v>
      </c>
      <c r="N82">
        <v>1008</v>
      </c>
      <c r="O82" t="s">
        <v>307</v>
      </c>
      <c r="P82" t="s">
        <v>307</v>
      </c>
      <c r="Q82">
        <v>1</v>
      </c>
      <c r="X82">
        <v>1</v>
      </c>
      <c r="Y82">
        <v>1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216</v>
      </c>
      <c r="AG82">
        <v>0</v>
      </c>
      <c r="AH82">
        <v>2</v>
      </c>
      <c r="AI82">
        <v>309316632</v>
      </c>
      <c r="AJ82">
        <v>83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ROW(Source!A211)</f>
        <v>211</v>
      </c>
      <c r="B83">
        <v>309316659</v>
      </c>
      <c r="C83">
        <v>309316655</v>
      </c>
      <c r="D83">
        <v>89440730</v>
      </c>
      <c r="E83">
        <v>89440001</v>
      </c>
      <c r="F83">
        <v>1</v>
      </c>
      <c r="G83">
        <v>89440001</v>
      </c>
      <c r="H83">
        <v>2</v>
      </c>
      <c r="I83" t="s">
        <v>305</v>
      </c>
      <c r="J83" t="s">
        <v>3</v>
      </c>
      <c r="K83" t="s">
        <v>306</v>
      </c>
      <c r="L83">
        <v>1344</v>
      </c>
      <c r="N83">
        <v>1008</v>
      </c>
      <c r="O83" t="s">
        <v>307</v>
      </c>
      <c r="P83" t="s">
        <v>307</v>
      </c>
      <c r="Q83">
        <v>1</v>
      </c>
      <c r="X83">
        <v>8.86</v>
      </c>
      <c r="Y83">
        <v>0</v>
      </c>
      <c r="Z83">
        <v>1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230</v>
      </c>
      <c r="AG83">
        <v>9.7460000000000004</v>
      </c>
      <c r="AH83">
        <v>2</v>
      </c>
      <c r="AI83">
        <v>309316658</v>
      </c>
      <c r="AJ83">
        <v>84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ROW(Source!A212)</f>
        <v>212</v>
      </c>
      <c r="B84">
        <v>309316670</v>
      </c>
      <c r="C84">
        <v>309316665</v>
      </c>
      <c r="D84">
        <v>89440730</v>
      </c>
      <c r="E84">
        <v>89440001</v>
      </c>
      <c r="F84">
        <v>1</v>
      </c>
      <c r="G84">
        <v>89440001</v>
      </c>
      <c r="H84">
        <v>2</v>
      </c>
      <c r="I84" t="s">
        <v>305</v>
      </c>
      <c r="J84" t="s">
        <v>3</v>
      </c>
      <c r="K84" t="s">
        <v>306</v>
      </c>
      <c r="L84">
        <v>1344</v>
      </c>
      <c r="N84">
        <v>1008</v>
      </c>
      <c r="O84" t="s">
        <v>307</v>
      </c>
      <c r="P84" t="s">
        <v>307</v>
      </c>
      <c r="Q84">
        <v>1</v>
      </c>
      <c r="X84">
        <v>27.91</v>
      </c>
      <c r="Y84">
        <v>0</v>
      </c>
      <c r="Z84">
        <v>1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27.91</v>
      </c>
      <c r="AH84">
        <v>2</v>
      </c>
      <c r="AI84">
        <v>309316669</v>
      </c>
      <c r="AJ84">
        <v>85</v>
      </c>
      <c r="AK84">
        <v>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ROW(Source!A213)</f>
        <v>213</v>
      </c>
      <c r="B85">
        <v>309316674</v>
      </c>
      <c r="C85">
        <v>309316671</v>
      </c>
      <c r="D85">
        <v>89440730</v>
      </c>
      <c r="E85">
        <v>89440001</v>
      </c>
      <c r="F85">
        <v>1</v>
      </c>
      <c r="G85">
        <v>89440001</v>
      </c>
      <c r="H85">
        <v>2</v>
      </c>
      <c r="I85" t="s">
        <v>305</v>
      </c>
      <c r="J85" t="s">
        <v>3</v>
      </c>
      <c r="K85" t="s">
        <v>306</v>
      </c>
      <c r="L85">
        <v>1344</v>
      </c>
      <c r="N85">
        <v>1008</v>
      </c>
      <c r="O85" t="s">
        <v>307</v>
      </c>
      <c r="P85" t="s">
        <v>307</v>
      </c>
      <c r="Q85">
        <v>1</v>
      </c>
      <c r="X85">
        <v>101</v>
      </c>
      <c r="Y85">
        <v>0</v>
      </c>
      <c r="Z85">
        <v>1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101</v>
      </c>
      <c r="AH85">
        <v>2</v>
      </c>
      <c r="AI85">
        <v>309316673</v>
      </c>
      <c r="AJ85">
        <v>86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ROW(Source!A248)</f>
        <v>248</v>
      </c>
      <c r="B86">
        <v>309316692</v>
      </c>
      <c r="C86">
        <v>309316684</v>
      </c>
      <c r="D86">
        <v>89440730</v>
      </c>
      <c r="E86">
        <v>89440001</v>
      </c>
      <c r="F86">
        <v>1</v>
      </c>
      <c r="G86">
        <v>89440001</v>
      </c>
      <c r="H86">
        <v>2</v>
      </c>
      <c r="I86" t="s">
        <v>305</v>
      </c>
      <c r="J86" t="s">
        <v>3</v>
      </c>
      <c r="K86" t="s">
        <v>306</v>
      </c>
      <c r="L86">
        <v>1344</v>
      </c>
      <c r="N86">
        <v>1008</v>
      </c>
      <c r="O86" t="s">
        <v>307</v>
      </c>
      <c r="P86" t="s">
        <v>307</v>
      </c>
      <c r="Q86">
        <v>1</v>
      </c>
      <c r="X86">
        <v>2012</v>
      </c>
      <c r="Y86">
        <v>0</v>
      </c>
      <c r="Z86">
        <v>1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255</v>
      </c>
      <c r="AG86">
        <v>1621.9737999999998</v>
      </c>
      <c r="AH86">
        <v>2</v>
      </c>
      <c r="AI86">
        <v>309316685</v>
      </c>
      <c r="AJ86">
        <v>87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ROW(Source!A248)</f>
        <v>248</v>
      </c>
      <c r="B87">
        <v>309316693</v>
      </c>
      <c r="C87">
        <v>309316684</v>
      </c>
      <c r="D87">
        <v>89461287</v>
      </c>
      <c r="E87">
        <v>89440001</v>
      </c>
      <c r="F87">
        <v>1</v>
      </c>
      <c r="G87">
        <v>89440001</v>
      </c>
      <c r="H87">
        <v>3</v>
      </c>
      <c r="I87" t="s">
        <v>27</v>
      </c>
      <c r="J87" t="s">
        <v>3</v>
      </c>
      <c r="K87" t="s">
        <v>28</v>
      </c>
      <c r="L87">
        <v>1348</v>
      </c>
      <c r="N87">
        <v>1009</v>
      </c>
      <c r="O87" t="s">
        <v>29</v>
      </c>
      <c r="P87" t="s">
        <v>29</v>
      </c>
      <c r="Q87">
        <v>1000</v>
      </c>
      <c r="X87">
        <v>0.33600000000000002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254</v>
      </c>
      <c r="AG87">
        <v>0.235536</v>
      </c>
      <c r="AH87">
        <v>2</v>
      </c>
      <c r="AI87">
        <v>309316689</v>
      </c>
      <c r="AJ87">
        <v>88</v>
      </c>
      <c r="AK87">
        <v>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ROW(Source!A248)</f>
        <v>248</v>
      </c>
      <c r="B88">
        <v>309316696</v>
      </c>
      <c r="C88">
        <v>309316684</v>
      </c>
      <c r="D88">
        <v>89461289</v>
      </c>
      <c r="E88">
        <v>89440001</v>
      </c>
      <c r="F88">
        <v>1</v>
      </c>
      <c r="G88">
        <v>89440001</v>
      </c>
      <c r="H88">
        <v>3</v>
      </c>
      <c r="I88" t="s">
        <v>31</v>
      </c>
      <c r="J88" t="s">
        <v>3</v>
      </c>
      <c r="K88" t="s">
        <v>32</v>
      </c>
      <c r="L88">
        <v>1339</v>
      </c>
      <c r="N88">
        <v>1007</v>
      </c>
      <c r="O88" t="s">
        <v>33</v>
      </c>
      <c r="P88" t="s">
        <v>33</v>
      </c>
      <c r="Q88">
        <v>1</v>
      </c>
      <c r="X88">
        <v>23.93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254</v>
      </c>
      <c r="AG88">
        <v>16.774929999999998</v>
      </c>
      <c r="AH88">
        <v>2</v>
      </c>
      <c r="AI88">
        <v>309316691</v>
      </c>
      <c r="AJ88">
        <v>89</v>
      </c>
      <c r="AK88">
        <v>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ROW(Source!A251)</f>
        <v>251</v>
      </c>
      <c r="B89">
        <v>309316711</v>
      </c>
      <c r="C89">
        <v>309316707</v>
      </c>
      <c r="D89">
        <v>89440730</v>
      </c>
      <c r="E89">
        <v>89440001</v>
      </c>
      <c r="F89">
        <v>1</v>
      </c>
      <c r="G89">
        <v>89440001</v>
      </c>
      <c r="H89">
        <v>2</v>
      </c>
      <c r="I89" t="s">
        <v>305</v>
      </c>
      <c r="J89" t="s">
        <v>3</v>
      </c>
      <c r="K89" t="s">
        <v>306</v>
      </c>
      <c r="L89">
        <v>1344</v>
      </c>
      <c r="N89">
        <v>1008</v>
      </c>
      <c r="O89" t="s">
        <v>307</v>
      </c>
      <c r="P89" t="s">
        <v>307</v>
      </c>
      <c r="Q89">
        <v>1</v>
      </c>
      <c r="X89">
        <v>5018</v>
      </c>
      <c r="Y89">
        <v>0</v>
      </c>
      <c r="Z89">
        <v>1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39</v>
      </c>
      <c r="AG89">
        <v>5770.7</v>
      </c>
      <c r="AH89">
        <v>2</v>
      </c>
      <c r="AI89">
        <v>309316709</v>
      </c>
      <c r="AJ89">
        <v>90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ROW(Source!A253)</f>
        <v>253</v>
      </c>
      <c r="B90">
        <v>309316719</v>
      </c>
      <c r="C90">
        <v>309316716</v>
      </c>
      <c r="D90">
        <v>89440730</v>
      </c>
      <c r="E90">
        <v>89440001</v>
      </c>
      <c r="F90">
        <v>1</v>
      </c>
      <c r="G90">
        <v>89440001</v>
      </c>
      <c r="H90">
        <v>2</v>
      </c>
      <c r="I90" t="s">
        <v>305</v>
      </c>
      <c r="J90" t="s">
        <v>3</v>
      </c>
      <c r="K90" t="s">
        <v>306</v>
      </c>
      <c r="L90">
        <v>1344</v>
      </c>
      <c r="N90">
        <v>1008</v>
      </c>
      <c r="O90" t="s">
        <v>307</v>
      </c>
      <c r="P90" t="s">
        <v>307</v>
      </c>
      <c r="Q90">
        <v>1</v>
      </c>
      <c r="X90">
        <v>30</v>
      </c>
      <c r="Y90">
        <v>0</v>
      </c>
      <c r="Z90">
        <v>1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39</v>
      </c>
      <c r="AG90">
        <v>34.5</v>
      </c>
      <c r="AH90">
        <v>2</v>
      </c>
      <c r="AI90">
        <v>309316717</v>
      </c>
      <c r="AJ90">
        <v>92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ROW(Source!A253)</f>
        <v>253</v>
      </c>
      <c r="B91">
        <v>309316720</v>
      </c>
      <c r="C91">
        <v>309316716</v>
      </c>
      <c r="D91">
        <v>89461289</v>
      </c>
      <c r="E91">
        <v>89440001</v>
      </c>
      <c r="F91">
        <v>1</v>
      </c>
      <c r="G91">
        <v>89440001</v>
      </c>
      <c r="H91">
        <v>3</v>
      </c>
      <c r="I91" t="s">
        <v>31</v>
      </c>
      <c r="J91" t="s">
        <v>3</v>
      </c>
      <c r="K91" t="s">
        <v>32</v>
      </c>
      <c r="L91">
        <v>1339</v>
      </c>
      <c r="N91">
        <v>1007</v>
      </c>
      <c r="O91" t="s">
        <v>33</v>
      </c>
      <c r="P91" t="s">
        <v>33</v>
      </c>
      <c r="Q91">
        <v>1</v>
      </c>
      <c r="X91">
        <v>0.2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0.2</v>
      </c>
      <c r="AH91">
        <v>2</v>
      </c>
      <c r="AI91">
        <v>309316718</v>
      </c>
      <c r="AJ91">
        <v>93</v>
      </c>
      <c r="AK91">
        <v>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ROW(Source!A255)</f>
        <v>255</v>
      </c>
      <c r="B92">
        <v>309316750</v>
      </c>
      <c r="C92">
        <v>309316724</v>
      </c>
      <c r="D92">
        <v>89440006</v>
      </c>
      <c r="E92">
        <v>89440001</v>
      </c>
      <c r="F92">
        <v>1</v>
      </c>
      <c r="G92">
        <v>89440001</v>
      </c>
      <c r="H92">
        <v>1</v>
      </c>
      <c r="I92" t="s">
        <v>308</v>
      </c>
      <c r="J92" t="s">
        <v>3</v>
      </c>
      <c r="K92" t="s">
        <v>309</v>
      </c>
      <c r="L92">
        <v>1191</v>
      </c>
      <c r="N92">
        <v>1013</v>
      </c>
      <c r="O92" t="s">
        <v>310</v>
      </c>
      <c r="P92" t="s">
        <v>310</v>
      </c>
      <c r="Q92">
        <v>1</v>
      </c>
      <c r="X92">
        <v>827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276</v>
      </c>
      <c r="AG92">
        <v>760.84</v>
      </c>
      <c r="AH92">
        <v>2</v>
      </c>
      <c r="AI92">
        <v>309316727</v>
      </c>
      <c r="AJ92">
        <v>94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ROW(Source!A255)</f>
        <v>255</v>
      </c>
      <c r="B93">
        <v>309316752</v>
      </c>
      <c r="C93">
        <v>309316724</v>
      </c>
      <c r="D93">
        <v>89511697</v>
      </c>
      <c r="E93">
        <v>1</v>
      </c>
      <c r="F93">
        <v>1</v>
      </c>
      <c r="G93">
        <v>89440001</v>
      </c>
      <c r="H93">
        <v>2</v>
      </c>
      <c r="I93" t="s">
        <v>395</v>
      </c>
      <c r="J93" t="s">
        <v>396</v>
      </c>
      <c r="K93" t="s">
        <v>397</v>
      </c>
      <c r="L93">
        <v>1367</v>
      </c>
      <c r="N93">
        <v>1011</v>
      </c>
      <c r="O93" t="s">
        <v>314</v>
      </c>
      <c r="P93" t="s">
        <v>314</v>
      </c>
      <c r="Q93">
        <v>1</v>
      </c>
      <c r="X93">
        <v>26.3</v>
      </c>
      <c r="Y93">
        <v>0</v>
      </c>
      <c r="Z93">
        <v>7.01</v>
      </c>
      <c r="AA93">
        <v>0.31</v>
      </c>
      <c r="AB93">
        <v>0</v>
      </c>
      <c r="AC93">
        <v>0</v>
      </c>
      <c r="AD93">
        <v>1</v>
      </c>
      <c r="AE93">
        <v>0</v>
      </c>
      <c r="AF93" t="s">
        <v>276</v>
      </c>
      <c r="AG93">
        <v>24.195999999999998</v>
      </c>
      <c r="AH93">
        <v>2</v>
      </c>
      <c r="AI93">
        <v>309316728</v>
      </c>
      <c r="AJ93">
        <v>95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ROW(Source!A255)</f>
        <v>255</v>
      </c>
      <c r="B94">
        <v>309316753</v>
      </c>
      <c r="C94">
        <v>309316724</v>
      </c>
      <c r="D94">
        <v>89511984</v>
      </c>
      <c r="E94">
        <v>1</v>
      </c>
      <c r="F94">
        <v>1</v>
      </c>
      <c r="G94">
        <v>89440001</v>
      </c>
      <c r="H94">
        <v>2</v>
      </c>
      <c r="I94" t="s">
        <v>327</v>
      </c>
      <c r="J94" t="s">
        <v>398</v>
      </c>
      <c r="K94" t="s">
        <v>329</v>
      </c>
      <c r="L94">
        <v>1367</v>
      </c>
      <c r="N94">
        <v>1011</v>
      </c>
      <c r="O94" t="s">
        <v>314</v>
      </c>
      <c r="P94" t="s">
        <v>314</v>
      </c>
      <c r="Q94">
        <v>1</v>
      </c>
      <c r="X94">
        <v>2.4700000000000002</v>
      </c>
      <c r="Y94">
        <v>0</v>
      </c>
      <c r="Z94">
        <v>74.44</v>
      </c>
      <c r="AA94">
        <v>17.59</v>
      </c>
      <c r="AB94">
        <v>0</v>
      </c>
      <c r="AC94">
        <v>0</v>
      </c>
      <c r="AD94">
        <v>1</v>
      </c>
      <c r="AE94">
        <v>0</v>
      </c>
      <c r="AF94" t="s">
        <v>276</v>
      </c>
      <c r="AG94">
        <v>2.2724000000000002</v>
      </c>
      <c r="AH94">
        <v>2</v>
      </c>
      <c r="AI94">
        <v>309316729</v>
      </c>
      <c r="AJ94">
        <v>96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ROW(Source!A255)</f>
        <v>255</v>
      </c>
      <c r="B95">
        <v>309316754</v>
      </c>
      <c r="C95">
        <v>309316724</v>
      </c>
      <c r="D95">
        <v>89511228</v>
      </c>
      <c r="E95">
        <v>1</v>
      </c>
      <c r="F95">
        <v>1</v>
      </c>
      <c r="G95">
        <v>89440001</v>
      </c>
      <c r="H95">
        <v>2</v>
      </c>
      <c r="I95" t="s">
        <v>399</v>
      </c>
      <c r="J95" t="s">
        <v>400</v>
      </c>
      <c r="K95" t="s">
        <v>401</v>
      </c>
      <c r="L95">
        <v>1367</v>
      </c>
      <c r="N95">
        <v>1011</v>
      </c>
      <c r="O95" t="s">
        <v>314</v>
      </c>
      <c r="P95" t="s">
        <v>314</v>
      </c>
      <c r="Q95">
        <v>1</v>
      </c>
      <c r="X95">
        <v>1.65</v>
      </c>
      <c r="Y95">
        <v>0</v>
      </c>
      <c r="Z95">
        <v>102.11</v>
      </c>
      <c r="AA95">
        <v>30.03</v>
      </c>
      <c r="AB95">
        <v>0</v>
      </c>
      <c r="AC95">
        <v>0</v>
      </c>
      <c r="AD95">
        <v>1</v>
      </c>
      <c r="AE95">
        <v>0</v>
      </c>
      <c r="AF95" t="s">
        <v>276</v>
      </c>
      <c r="AG95">
        <v>1.5179999999999998</v>
      </c>
      <c r="AH95">
        <v>2</v>
      </c>
      <c r="AI95">
        <v>309316730</v>
      </c>
      <c r="AJ95">
        <v>97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ROW(Source!A255)</f>
        <v>255</v>
      </c>
      <c r="B96">
        <v>309316755</v>
      </c>
      <c r="C96">
        <v>309316724</v>
      </c>
      <c r="D96">
        <v>89511515</v>
      </c>
      <c r="E96">
        <v>1</v>
      </c>
      <c r="F96">
        <v>1</v>
      </c>
      <c r="G96">
        <v>89440001</v>
      </c>
      <c r="H96">
        <v>2</v>
      </c>
      <c r="I96" t="s">
        <v>402</v>
      </c>
      <c r="J96" t="s">
        <v>403</v>
      </c>
      <c r="K96" t="s">
        <v>404</v>
      </c>
      <c r="L96">
        <v>1367</v>
      </c>
      <c r="N96">
        <v>1011</v>
      </c>
      <c r="O96" t="s">
        <v>314</v>
      </c>
      <c r="P96" t="s">
        <v>314</v>
      </c>
      <c r="Q96">
        <v>1</v>
      </c>
      <c r="X96">
        <v>38.85</v>
      </c>
      <c r="Y96">
        <v>0</v>
      </c>
      <c r="Z96">
        <v>2.06</v>
      </c>
      <c r="AA96">
        <v>0.09</v>
      </c>
      <c r="AB96">
        <v>0</v>
      </c>
      <c r="AC96">
        <v>0</v>
      </c>
      <c r="AD96">
        <v>1</v>
      </c>
      <c r="AE96">
        <v>0</v>
      </c>
      <c r="AF96" t="s">
        <v>276</v>
      </c>
      <c r="AG96">
        <v>35.741999999999997</v>
      </c>
      <c r="AH96">
        <v>2</v>
      </c>
      <c r="AI96">
        <v>309316731</v>
      </c>
      <c r="AJ96">
        <v>98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ROW(Source!A255)</f>
        <v>255</v>
      </c>
      <c r="B97">
        <v>309316756</v>
      </c>
      <c r="C97">
        <v>309316724</v>
      </c>
      <c r="D97">
        <v>89457602</v>
      </c>
      <c r="E97">
        <v>89440001</v>
      </c>
      <c r="F97">
        <v>1</v>
      </c>
      <c r="G97">
        <v>89440001</v>
      </c>
      <c r="H97">
        <v>3</v>
      </c>
      <c r="I97" t="s">
        <v>438</v>
      </c>
      <c r="J97" t="s">
        <v>3</v>
      </c>
      <c r="K97" t="s">
        <v>439</v>
      </c>
      <c r="L97">
        <v>1348</v>
      </c>
      <c r="N97">
        <v>1009</v>
      </c>
      <c r="O97" t="s">
        <v>29</v>
      </c>
      <c r="P97" t="s">
        <v>29</v>
      </c>
      <c r="Q97">
        <v>1000</v>
      </c>
      <c r="X97">
        <v>9.5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 t="s">
        <v>216</v>
      </c>
      <c r="AG97">
        <v>0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ROW(Source!A255)</f>
        <v>255</v>
      </c>
      <c r="B98">
        <v>309316764</v>
      </c>
      <c r="C98">
        <v>309316724</v>
      </c>
      <c r="D98">
        <v>89487104</v>
      </c>
      <c r="E98">
        <v>1</v>
      </c>
      <c r="F98">
        <v>1</v>
      </c>
      <c r="G98">
        <v>89440001</v>
      </c>
      <c r="H98">
        <v>3</v>
      </c>
      <c r="I98" t="s">
        <v>405</v>
      </c>
      <c r="J98" t="s">
        <v>406</v>
      </c>
      <c r="K98" t="s">
        <v>407</v>
      </c>
      <c r="L98">
        <v>1348</v>
      </c>
      <c r="N98">
        <v>1009</v>
      </c>
      <c r="O98" t="s">
        <v>29</v>
      </c>
      <c r="P98" t="s">
        <v>29</v>
      </c>
      <c r="Q98">
        <v>1000</v>
      </c>
      <c r="X98">
        <v>0.01</v>
      </c>
      <c r="Y98">
        <v>6521.42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216</v>
      </c>
      <c r="AG98">
        <v>0</v>
      </c>
      <c r="AH98">
        <v>2</v>
      </c>
      <c r="AI98">
        <v>309316739</v>
      </c>
      <c r="AJ98">
        <v>100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ROW(Source!A255)</f>
        <v>255</v>
      </c>
      <c r="B99">
        <v>309316765</v>
      </c>
      <c r="C99">
        <v>309316724</v>
      </c>
      <c r="D99">
        <v>89488403</v>
      </c>
      <c r="E99">
        <v>1</v>
      </c>
      <c r="F99">
        <v>1</v>
      </c>
      <c r="G99">
        <v>89440001</v>
      </c>
      <c r="H99">
        <v>3</v>
      </c>
      <c r="I99" t="s">
        <v>364</v>
      </c>
      <c r="J99" t="s">
        <v>365</v>
      </c>
      <c r="K99" t="s">
        <v>366</v>
      </c>
      <c r="L99">
        <v>1348</v>
      </c>
      <c r="N99">
        <v>1009</v>
      </c>
      <c r="O99" t="s">
        <v>29</v>
      </c>
      <c r="P99" t="s">
        <v>29</v>
      </c>
      <c r="Q99">
        <v>1000</v>
      </c>
      <c r="X99">
        <v>2.75E-2</v>
      </c>
      <c r="Y99">
        <v>7191.81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216</v>
      </c>
      <c r="AG99">
        <v>0</v>
      </c>
      <c r="AH99">
        <v>2</v>
      </c>
      <c r="AI99">
        <v>309316740</v>
      </c>
      <c r="AJ99">
        <v>101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ROW(Source!A255)</f>
        <v>255</v>
      </c>
      <c r="B100">
        <v>309316766</v>
      </c>
      <c r="C100">
        <v>309316724</v>
      </c>
      <c r="D100">
        <v>89487194</v>
      </c>
      <c r="E100">
        <v>1</v>
      </c>
      <c r="F100">
        <v>1</v>
      </c>
      <c r="G100">
        <v>89440001</v>
      </c>
      <c r="H100">
        <v>3</v>
      </c>
      <c r="I100" t="s">
        <v>408</v>
      </c>
      <c r="J100" t="s">
        <v>409</v>
      </c>
      <c r="K100" t="s">
        <v>410</v>
      </c>
      <c r="L100">
        <v>1339</v>
      </c>
      <c r="N100">
        <v>1007</v>
      </c>
      <c r="O100" t="s">
        <v>33</v>
      </c>
      <c r="P100" t="s">
        <v>33</v>
      </c>
      <c r="Q100">
        <v>1</v>
      </c>
      <c r="X100">
        <v>0.3</v>
      </c>
      <c r="Y100">
        <v>1828.56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216</v>
      </c>
      <c r="AG100">
        <v>0</v>
      </c>
      <c r="AH100">
        <v>2</v>
      </c>
      <c r="AI100">
        <v>309316741</v>
      </c>
      <c r="AJ100">
        <v>102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ROW(Source!A255)</f>
        <v>255</v>
      </c>
      <c r="B101">
        <v>309316767</v>
      </c>
      <c r="C101">
        <v>309316724</v>
      </c>
      <c r="D101">
        <v>89487031</v>
      </c>
      <c r="E101">
        <v>1</v>
      </c>
      <c r="F101">
        <v>1</v>
      </c>
      <c r="G101">
        <v>89440001</v>
      </c>
      <c r="H101">
        <v>3</v>
      </c>
      <c r="I101" t="s">
        <v>411</v>
      </c>
      <c r="J101" t="s">
        <v>412</v>
      </c>
      <c r="K101" t="s">
        <v>413</v>
      </c>
      <c r="L101">
        <v>1348</v>
      </c>
      <c r="N101">
        <v>1009</v>
      </c>
      <c r="O101" t="s">
        <v>29</v>
      </c>
      <c r="P101" t="s">
        <v>29</v>
      </c>
      <c r="Q101">
        <v>1000</v>
      </c>
      <c r="X101">
        <v>0.84</v>
      </c>
      <c r="Y101">
        <v>3806.03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216</v>
      </c>
      <c r="AG101">
        <v>0</v>
      </c>
      <c r="AH101">
        <v>2</v>
      </c>
      <c r="AI101">
        <v>309316742</v>
      </c>
      <c r="AJ101">
        <v>103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ROW(Source!A255)</f>
        <v>255</v>
      </c>
      <c r="B102">
        <v>309316768</v>
      </c>
      <c r="C102">
        <v>309316724</v>
      </c>
      <c r="D102">
        <v>89510912</v>
      </c>
      <c r="E102">
        <v>1</v>
      </c>
      <c r="F102">
        <v>1</v>
      </c>
      <c r="G102">
        <v>89440001</v>
      </c>
      <c r="H102">
        <v>3</v>
      </c>
      <c r="I102" t="s">
        <v>414</v>
      </c>
      <c r="J102" t="s">
        <v>415</v>
      </c>
      <c r="K102" t="s">
        <v>416</v>
      </c>
      <c r="L102">
        <v>1327</v>
      </c>
      <c r="N102">
        <v>1005</v>
      </c>
      <c r="O102" t="s">
        <v>336</v>
      </c>
      <c r="P102" t="s">
        <v>336</v>
      </c>
      <c r="Q102">
        <v>1</v>
      </c>
      <c r="X102">
        <v>9.1999999999999993</v>
      </c>
      <c r="Y102">
        <v>90.15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216</v>
      </c>
      <c r="AG102">
        <v>0</v>
      </c>
      <c r="AH102">
        <v>2</v>
      </c>
      <c r="AI102">
        <v>309316743</v>
      </c>
      <c r="AJ102">
        <v>104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ROW(Source!A255)</f>
        <v>255</v>
      </c>
      <c r="B103">
        <v>309316769</v>
      </c>
      <c r="C103">
        <v>309316724</v>
      </c>
      <c r="D103">
        <v>89452877</v>
      </c>
      <c r="E103">
        <v>89440001</v>
      </c>
      <c r="F103">
        <v>1</v>
      </c>
      <c r="G103">
        <v>89440001</v>
      </c>
      <c r="H103">
        <v>3</v>
      </c>
      <c r="I103" t="s">
        <v>440</v>
      </c>
      <c r="J103" t="s">
        <v>3</v>
      </c>
      <c r="K103" t="s">
        <v>441</v>
      </c>
      <c r="L103">
        <v>1354</v>
      </c>
      <c r="N103">
        <v>16987630</v>
      </c>
      <c r="O103" t="s">
        <v>370</v>
      </c>
      <c r="P103" t="s">
        <v>370</v>
      </c>
      <c r="Q103">
        <v>1</v>
      </c>
      <c r="X103">
        <v>14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216</v>
      </c>
      <c r="AG103">
        <v>0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ROW(Source!A255)</f>
        <v>255</v>
      </c>
      <c r="B104">
        <v>309316770</v>
      </c>
      <c r="C104">
        <v>309316724</v>
      </c>
      <c r="D104">
        <v>89455841</v>
      </c>
      <c r="E104">
        <v>89440001</v>
      </c>
      <c r="F104">
        <v>1</v>
      </c>
      <c r="G104">
        <v>89440001</v>
      </c>
      <c r="H104">
        <v>3</v>
      </c>
      <c r="I104" t="s">
        <v>442</v>
      </c>
      <c r="J104" t="s">
        <v>3</v>
      </c>
      <c r="K104" t="s">
        <v>443</v>
      </c>
      <c r="L104">
        <v>1339</v>
      </c>
      <c r="N104">
        <v>1007</v>
      </c>
      <c r="O104" t="s">
        <v>33</v>
      </c>
      <c r="P104" t="s">
        <v>33</v>
      </c>
      <c r="Q104">
        <v>1</v>
      </c>
      <c r="X104">
        <v>51.8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 t="s">
        <v>216</v>
      </c>
      <c r="AG104">
        <v>0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ROW(Source!A255)</f>
        <v>255</v>
      </c>
      <c r="B105">
        <v>309316771</v>
      </c>
      <c r="C105">
        <v>309316724</v>
      </c>
      <c r="D105">
        <v>89453367</v>
      </c>
      <c r="E105">
        <v>89440001</v>
      </c>
      <c r="F105">
        <v>1</v>
      </c>
      <c r="G105">
        <v>89440001</v>
      </c>
      <c r="H105">
        <v>3</v>
      </c>
      <c r="I105" t="s">
        <v>444</v>
      </c>
      <c r="J105" t="s">
        <v>3</v>
      </c>
      <c r="K105" t="s">
        <v>445</v>
      </c>
      <c r="L105">
        <v>1339</v>
      </c>
      <c r="N105">
        <v>1007</v>
      </c>
      <c r="O105" t="s">
        <v>33</v>
      </c>
      <c r="P105" t="s">
        <v>33</v>
      </c>
      <c r="Q105">
        <v>1</v>
      </c>
      <c r="X105">
        <v>2.9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216</v>
      </c>
      <c r="AG105">
        <v>0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ROW(Source!A255)</f>
        <v>255</v>
      </c>
      <c r="B106">
        <v>309316772</v>
      </c>
      <c r="C106">
        <v>309316724</v>
      </c>
      <c r="D106">
        <v>89462364</v>
      </c>
      <c r="E106">
        <v>89440001</v>
      </c>
      <c r="F106">
        <v>1</v>
      </c>
      <c r="G106">
        <v>89440001</v>
      </c>
      <c r="H106">
        <v>3</v>
      </c>
      <c r="I106" t="s">
        <v>446</v>
      </c>
      <c r="J106" t="s">
        <v>3</v>
      </c>
      <c r="K106" t="s">
        <v>447</v>
      </c>
      <c r="L106">
        <v>1339</v>
      </c>
      <c r="N106">
        <v>1007</v>
      </c>
      <c r="O106" t="s">
        <v>33</v>
      </c>
      <c r="P106" t="s">
        <v>33</v>
      </c>
      <c r="Q106">
        <v>1</v>
      </c>
      <c r="X106">
        <v>52.8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 t="s">
        <v>216</v>
      </c>
      <c r="AG106">
        <v>0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ROW(Source!A257)</f>
        <v>257</v>
      </c>
      <c r="B107">
        <v>309316792</v>
      </c>
      <c r="C107">
        <v>309316785</v>
      </c>
      <c r="D107">
        <v>89440006</v>
      </c>
      <c r="E107">
        <v>89440001</v>
      </c>
      <c r="F107">
        <v>1</v>
      </c>
      <c r="G107">
        <v>89440001</v>
      </c>
      <c r="H107">
        <v>1</v>
      </c>
      <c r="I107" t="s">
        <v>308</v>
      </c>
      <c r="J107" t="s">
        <v>3</v>
      </c>
      <c r="K107" t="s">
        <v>309</v>
      </c>
      <c r="L107">
        <v>1191</v>
      </c>
      <c r="N107">
        <v>1013</v>
      </c>
      <c r="O107" t="s">
        <v>310</v>
      </c>
      <c r="P107" t="s">
        <v>310</v>
      </c>
      <c r="Q107">
        <v>1</v>
      </c>
      <c r="X107">
        <v>1.38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3</v>
      </c>
      <c r="AG107">
        <v>1.38</v>
      </c>
      <c r="AH107">
        <v>2</v>
      </c>
      <c r="AI107">
        <v>309316788</v>
      </c>
      <c r="AJ107">
        <v>105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ROW(Source!A257)</f>
        <v>257</v>
      </c>
      <c r="B108">
        <v>309316793</v>
      </c>
      <c r="C108">
        <v>309316785</v>
      </c>
      <c r="D108">
        <v>89511139</v>
      </c>
      <c r="E108">
        <v>1</v>
      </c>
      <c r="F108">
        <v>1</v>
      </c>
      <c r="G108">
        <v>89440001</v>
      </c>
      <c r="H108">
        <v>2</v>
      </c>
      <c r="I108" t="s">
        <v>311</v>
      </c>
      <c r="J108" t="s">
        <v>312</v>
      </c>
      <c r="K108" t="s">
        <v>313</v>
      </c>
      <c r="L108">
        <v>1367</v>
      </c>
      <c r="N108">
        <v>1011</v>
      </c>
      <c r="O108" t="s">
        <v>314</v>
      </c>
      <c r="P108" t="s">
        <v>314</v>
      </c>
      <c r="Q108">
        <v>1</v>
      </c>
      <c r="X108">
        <v>3.9874999999999998</v>
      </c>
      <c r="Y108">
        <v>0</v>
      </c>
      <c r="Z108">
        <v>162.4</v>
      </c>
      <c r="AA108">
        <v>28.6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3.9874999999999998</v>
      </c>
      <c r="AH108">
        <v>2</v>
      </c>
      <c r="AI108">
        <v>309316790</v>
      </c>
      <c r="AJ108">
        <v>106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ROW(Source!A257)</f>
        <v>257</v>
      </c>
      <c r="B109">
        <v>309316794</v>
      </c>
      <c r="C109">
        <v>309316785</v>
      </c>
      <c r="D109">
        <v>89511164</v>
      </c>
      <c r="E109">
        <v>1</v>
      </c>
      <c r="F109">
        <v>1</v>
      </c>
      <c r="G109">
        <v>89440001</v>
      </c>
      <c r="H109">
        <v>2</v>
      </c>
      <c r="I109" t="s">
        <v>315</v>
      </c>
      <c r="J109" t="s">
        <v>316</v>
      </c>
      <c r="K109" t="s">
        <v>317</v>
      </c>
      <c r="L109">
        <v>1367</v>
      </c>
      <c r="N109">
        <v>1011</v>
      </c>
      <c r="O109" t="s">
        <v>314</v>
      </c>
      <c r="P109" t="s">
        <v>314</v>
      </c>
      <c r="Q109">
        <v>1</v>
      </c>
      <c r="X109">
        <v>0.997</v>
      </c>
      <c r="Y109">
        <v>0</v>
      </c>
      <c r="Z109">
        <v>110.31</v>
      </c>
      <c r="AA109">
        <v>26.52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0.997</v>
      </c>
      <c r="AH109">
        <v>2</v>
      </c>
      <c r="AI109">
        <v>309316791</v>
      </c>
      <c r="AJ109">
        <v>107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ROW(Source!A258)</f>
        <v>258</v>
      </c>
      <c r="B110">
        <v>309562746</v>
      </c>
      <c r="C110">
        <v>309316796</v>
      </c>
      <c r="D110">
        <v>89440730</v>
      </c>
      <c r="E110">
        <v>89440001</v>
      </c>
      <c r="F110">
        <v>1</v>
      </c>
      <c r="G110">
        <v>89440001</v>
      </c>
      <c r="H110">
        <v>2</v>
      </c>
      <c r="I110" t="s">
        <v>305</v>
      </c>
      <c r="J110" t="s">
        <v>3</v>
      </c>
      <c r="K110" t="s">
        <v>306</v>
      </c>
      <c r="L110">
        <v>1344</v>
      </c>
      <c r="N110">
        <v>1008</v>
      </c>
      <c r="O110" t="s">
        <v>307</v>
      </c>
      <c r="P110" t="s">
        <v>307</v>
      </c>
      <c r="Q110">
        <v>1</v>
      </c>
      <c r="X110">
        <v>73.78</v>
      </c>
      <c r="Y110">
        <v>0</v>
      </c>
      <c r="Z110">
        <v>1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73.78</v>
      </c>
      <c r="AH110">
        <v>2</v>
      </c>
      <c r="AI110">
        <v>309316797</v>
      </c>
      <c r="AJ110">
        <v>108</v>
      </c>
      <c r="AK110">
        <v>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ROW(Source!A259)</f>
        <v>259</v>
      </c>
      <c r="B111">
        <v>309316805</v>
      </c>
      <c r="C111">
        <v>309316800</v>
      </c>
      <c r="D111">
        <v>89440730</v>
      </c>
      <c r="E111">
        <v>89440001</v>
      </c>
      <c r="F111">
        <v>1</v>
      </c>
      <c r="G111">
        <v>89440001</v>
      </c>
      <c r="H111">
        <v>2</v>
      </c>
      <c r="I111" t="s">
        <v>305</v>
      </c>
      <c r="J111" t="s">
        <v>3</v>
      </c>
      <c r="K111" t="s">
        <v>306</v>
      </c>
      <c r="L111">
        <v>1344</v>
      </c>
      <c r="N111">
        <v>1008</v>
      </c>
      <c r="O111" t="s">
        <v>307</v>
      </c>
      <c r="P111" t="s">
        <v>307</v>
      </c>
      <c r="Q111">
        <v>1</v>
      </c>
      <c r="X111">
        <v>43.28</v>
      </c>
      <c r="Y111">
        <v>0</v>
      </c>
      <c r="Z111">
        <v>1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43.28</v>
      </c>
      <c r="AH111">
        <v>2</v>
      </c>
      <c r="AI111">
        <v>309316803</v>
      </c>
      <c r="AJ111">
        <v>109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ROW(Source!A260)</f>
        <v>260</v>
      </c>
      <c r="B112">
        <v>309316836</v>
      </c>
      <c r="C112">
        <v>309316811</v>
      </c>
      <c r="D112">
        <v>89440730</v>
      </c>
      <c r="E112">
        <v>89440001</v>
      </c>
      <c r="F112">
        <v>1</v>
      </c>
      <c r="G112">
        <v>89440001</v>
      </c>
      <c r="H112">
        <v>2</v>
      </c>
      <c r="I112" t="s">
        <v>305</v>
      </c>
      <c r="J112" t="s">
        <v>3</v>
      </c>
      <c r="K112" t="s">
        <v>306</v>
      </c>
      <c r="L112">
        <v>1344</v>
      </c>
      <c r="N112">
        <v>1008</v>
      </c>
      <c r="O112" t="s">
        <v>307</v>
      </c>
      <c r="P112" t="s">
        <v>307</v>
      </c>
      <c r="Q112">
        <v>1</v>
      </c>
      <c r="X112">
        <v>8.86</v>
      </c>
      <c r="Y112">
        <v>0</v>
      </c>
      <c r="Z112">
        <v>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230</v>
      </c>
      <c r="AG112">
        <v>9.7460000000000004</v>
      </c>
      <c r="AH112">
        <v>2</v>
      </c>
      <c r="AI112">
        <v>309316813</v>
      </c>
      <c r="AJ112">
        <v>110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ROW(Source!A261)</f>
        <v>261</v>
      </c>
      <c r="B113">
        <v>309316847</v>
      </c>
      <c r="C113">
        <v>309316844</v>
      </c>
      <c r="D113">
        <v>89440730</v>
      </c>
      <c r="E113">
        <v>89440001</v>
      </c>
      <c r="F113">
        <v>1</v>
      </c>
      <c r="G113">
        <v>89440001</v>
      </c>
      <c r="H113">
        <v>2</v>
      </c>
      <c r="I113" t="s">
        <v>305</v>
      </c>
      <c r="J113" t="s">
        <v>3</v>
      </c>
      <c r="K113" t="s">
        <v>306</v>
      </c>
      <c r="L113">
        <v>1344</v>
      </c>
      <c r="N113">
        <v>1008</v>
      </c>
      <c r="O113" t="s">
        <v>307</v>
      </c>
      <c r="P113" t="s">
        <v>307</v>
      </c>
      <c r="Q113">
        <v>1</v>
      </c>
      <c r="X113">
        <v>27.91</v>
      </c>
      <c r="Y113">
        <v>0</v>
      </c>
      <c r="Z113">
        <v>1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27.91</v>
      </c>
      <c r="AH113">
        <v>2</v>
      </c>
      <c r="AI113">
        <v>309316846</v>
      </c>
      <c r="AJ113">
        <v>111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ROW(Source!A262)</f>
        <v>262</v>
      </c>
      <c r="B114">
        <v>309316863</v>
      </c>
      <c r="C114">
        <v>309316861</v>
      </c>
      <c r="D114">
        <v>89440730</v>
      </c>
      <c r="E114">
        <v>89440001</v>
      </c>
      <c r="F114">
        <v>1</v>
      </c>
      <c r="G114">
        <v>89440001</v>
      </c>
      <c r="H114">
        <v>2</v>
      </c>
      <c r="I114" t="s">
        <v>305</v>
      </c>
      <c r="J114" t="s">
        <v>3</v>
      </c>
      <c r="K114" t="s">
        <v>306</v>
      </c>
      <c r="L114">
        <v>1344</v>
      </c>
      <c r="N114">
        <v>1008</v>
      </c>
      <c r="O114" t="s">
        <v>307</v>
      </c>
      <c r="P114" t="s">
        <v>307</v>
      </c>
      <c r="Q114">
        <v>1</v>
      </c>
      <c r="X114">
        <v>101</v>
      </c>
      <c r="Y114">
        <v>0</v>
      </c>
      <c r="Z114">
        <v>1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101</v>
      </c>
      <c r="AH114">
        <v>2</v>
      </c>
      <c r="AI114">
        <v>309316862</v>
      </c>
      <c r="AJ114">
        <v>112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по ТСН-2001</vt:lpstr>
      <vt:lpstr>Source</vt:lpstr>
      <vt:lpstr>SourceObSm</vt:lpstr>
      <vt:lpstr>SmtRes</vt:lpstr>
      <vt:lpstr>EtalonRes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Ломова Татьяна Викторовна</cp:lastModifiedBy>
  <cp:lastPrinted>2019-03-26T06:03:20Z</cp:lastPrinted>
  <dcterms:created xsi:type="dcterms:W3CDTF">2019-03-26T05:44:09Z</dcterms:created>
  <dcterms:modified xsi:type="dcterms:W3CDTF">2019-04-15T15:00:18Z</dcterms:modified>
</cp:coreProperties>
</file>