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ЭтаКнига" defaultThemeVersion="164011"/>
  <bookViews>
    <workbookView xWindow="0" yWindow="0" windowWidth="28800" windowHeight="11700"/>
  </bookViews>
  <sheets>
    <sheet name="Перечень" sheetId="5" r:id="rId1"/>
  </sheets>
  <externalReferences>
    <externalReference r:id="rId2"/>
  </externalReferences>
  <definedNames>
    <definedName name="_xlnm._FilterDatabase" localSheetId="0" hidden="1">Перечень!$A$4:$U$2087</definedName>
    <definedName name="PATHPOS" localSheetId="0">Перечень!#REF!</definedName>
    <definedName name="ДО">[1]Данные!$B$1</definedName>
    <definedName name="долл">[1]Данные!$B$3</definedName>
    <definedName name="евро">[1]Данные!$B$4</definedName>
    <definedName name="ФИ_макс">[1]Данные!$B$5</definedName>
    <definedName name="ЭУ">[1]Данные!$B$7</definedName>
  </definedNames>
  <calcPr calcId="162913" fullPrecision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83" i="5" l="1"/>
  <c r="B1686" i="5"/>
  <c r="B1689" i="5"/>
  <c r="B1692" i="5"/>
  <c r="B1695" i="5"/>
  <c r="B1698" i="5"/>
  <c r="B1701" i="5"/>
  <c r="B1704" i="5"/>
  <c r="B1707" i="5"/>
  <c r="B1680" i="5"/>
  <c r="R57" i="5" l="1"/>
  <c r="Q57" i="5" s="1"/>
  <c r="R58" i="5"/>
  <c r="Q58" i="5" s="1"/>
  <c r="R59" i="5"/>
  <c r="Q59" i="5" s="1"/>
  <c r="R60" i="5"/>
  <c r="Q60" i="5" s="1"/>
  <c r="R61" i="5"/>
  <c r="Q61" i="5" s="1"/>
  <c r="R63" i="5"/>
  <c r="R64" i="5"/>
  <c r="Q64" i="5" s="1"/>
  <c r="R65" i="5"/>
  <c r="Q65" i="5" s="1"/>
  <c r="R67" i="5"/>
  <c r="R68" i="5"/>
  <c r="Q68" i="5" s="1"/>
  <c r="R69" i="5"/>
  <c r="Q69" i="5" s="1"/>
  <c r="R70" i="5"/>
  <c r="Q70" i="5" s="1"/>
  <c r="R71" i="5"/>
  <c r="Q71" i="5" s="1"/>
  <c r="R72" i="5"/>
  <c r="Q72" i="5" s="1"/>
  <c r="R73" i="5"/>
  <c r="Q73" i="5" s="1"/>
  <c r="R74" i="5"/>
  <c r="Q74" i="5" s="1"/>
  <c r="R75" i="5"/>
  <c r="Q75" i="5" s="1"/>
  <c r="R76" i="5"/>
  <c r="Q76" i="5" s="1"/>
  <c r="R77" i="5"/>
  <c r="Q77" i="5" s="1"/>
  <c r="R78" i="5"/>
  <c r="Q78" i="5" s="1"/>
  <c r="R79" i="5"/>
  <c r="Q79" i="5" s="1"/>
  <c r="R80" i="5"/>
  <c r="Q80" i="5" s="1"/>
  <c r="R81" i="5"/>
  <c r="Q81" i="5" s="1"/>
  <c r="R82" i="5"/>
  <c r="Q82" i="5" s="1"/>
  <c r="R83" i="5"/>
  <c r="Q83" i="5" s="1"/>
  <c r="R84" i="5"/>
  <c r="Q84" i="5" s="1"/>
  <c r="R85" i="5"/>
  <c r="Q85" i="5" s="1"/>
  <c r="R87" i="5"/>
  <c r="R88" i="5"/>
  <c r="Q88" i="5" s="1"/>
  <c r="R89" i="5"/>
  <c r="Q89" i="5" s="1"/>
  <c r="R90" i="5"/>
  <c r="Q90" i="5" s="1"/>
  <c r="R91" i="5"/>
  <c r="Q91" i="5" s="1"/>
  <c r="R92" i="5"/>
  <c r="Q92" i="5" s="1"/>
  <c r="R93" i="5"/>
  <c r="Q93" i="5" s="1"/>
  <c r="R94" i="5"/>
  <c r="Q94" i="5" s="1"/>
  <c r="R95" i="5"/>
  <c r="Q95" i="5" s="1"/>
  <c r="R96" i="5"/>
  <c r="Q96" i="5" s="1"/>
  <c r="R97" i="5"/>
  <c r="Q97" i="5" s="1"/>
  <c r="R98" i="5"/>
  <c r="Q98" i="5" s="1"/>
  <c r="R99" i="5"/>
  <c r="Q99" i="5" s="1"/>
  <c r="R100" i="5"/>
  <c r="Q100" i="5" s="1"/>
  <c r="R101" i="5"/>
  <c r="Q101" i="5" s="1"/>
  <c r="R102" i="5"/>
  <c r="Q102" i="5" s="1"/>
  <c r="R103" i="5"/>
  <c r="Q103" i="5" s="1"/>
  <c r="R104" i="5"/>
  <c r="Q104" i="5" s="1"/>
  <c r="R105" i="5"/>
  <c r="Q105" i="5" s="1"/>
  <c r="R106" i="5"/>
  <c r="Q106" i="5" s="1"/>
  <c r="R107" i="5"/>
  <c r="Q107" i="5" s="1"/>
  <c r="R108" i="5"/>
  <c r="Q108" i="5" s="1"/>
  <c r="R109" i="5"/>
  <c r="Q109" i="5" s="1"/>
  <c r="R110" i="5"/>
  <c r="Q110" i="5" s="1"/>
  <c r="R111" i="5"/>
  <c r="Q111" i="5" s="1"/>
  <c r="R112" i="5"/>
  <c r="Q112" i="5" s="1"/>
  <c r="R113" i="5"/>
  <c r="Q113" i="5" s="1"/>
  <c r="R115" i="5"/>
  <c r="R116" i="5"/>
  <c r="Q116" i="5" s="1"/>
  <c r="R117" i="5"/>
  <c r="Q117" i="5" s="1"/>
  <c r="R118" i="5"/>
  <c r="Q118" i="5" s="1"/>
  <c r="R119" i="5"/>
  <c r="Q119" i="5" s="1"/>
  <c r="R120" i="5"/>
  <c r="Q120" i="5" s="1"/>
  <c r="R122" i="5"/>
  <c r="R123" i="5"/>
  <c r="Q123" i="5" s="1"/>
  <c r="R124" i="5"/>
  <c r="Q124" i="5" s="1"/>
  <c r="R126" i="5"/>
  <c r="R128" i="5"/>
  <c r="R129" i="5"/>
  <c r="Q129" i="5" s="1"/>
  <c r="R130" i="5"/>
  <c r="Q130" i="5" s="1"/>
  <c r="R131" i="5"/>
  <c r="Q131" i="5" s="1"/>
  <c r="R132" i="5"/>
  <c r="Q132" i="5" s="1"/>
  <c r="R133" i="5"/>
  <c r="Q133" i="5" s="1"/>
  <c r="R134" i="5"/>
  <c r="Q134" i="5" s="1"/>
  <c r="R135" i="5"/>
  <c r="Q135" i="5" s="1"/>
  <c r="R136" i="5"/>
  <c r="Q136" i="5" s="1"/>
  <c r="R138" i="5"/>
  <c r="R139" i="5"/>
  <c r="Q139" i="5" s="1"/>
  <c r="R141" i="5"/>
  <c r="R142" i="5"/>
  <c r="Q142" i="5" s="1"/>
  <c r="R143" i="5"/>
  <c r="Q143" i="5" s="1"/>
  <c r="R144" i="5"/>
  <c r="Q144" i="5" s="1"/>
  <c r="R145" i="5"/>
  <c r="Q145" i="5" s="1"/>
  <c r="R146" i="5"/>
  <c r="Q146" i="5" s="1"/>
  <c r="R147" i="5"/>
  <c r="Q147" i="5" s="1"/>
  <c r="R148" i="5"/>
  <c r="Q148" i="5" s="1"/>
  <c r="R149" i="5"/>
  <c r="Q149" i="5" s="1"/>
  <c r="R151" i="5"/>
  <c r="R152" i="5"/>
  <c r="Q152" i="5" s="1"/>
  <c r="R153" i="5"/>
  <c r="Q153" i="5" s="1"/>
  <c r="R154" i="5"/>
  <c r="Q154" i="5" s="1"/>
  <c r="R155" i="5"/>
  <c r="Q155" i="5" s="1"/>
  <c r="R156" i="5"/>
  <c r="Q156" i="5" s="1"/>
  <c r="R157" i="5"/>
  <c r="Q157" i="5" s="1"/>
  <c r="R158" i="5"/>
  <c r="Q158" i="5" s="1"/>
  <c r="R159" i="5"/>
  <c r="Q159" i="5" s="1"/>
  <c r="R160" i="5"/>
  <c r="Q160" i="5" s="1"/>
  <c r="R161" i="5"/>
  <c r="Q161" i="5" s="1"/>
  <c r="R162" i="5"/>
  <c r="Q162" i="5" s="1"/>
  <c r="R163" i="5"/>
  <c r="Q163" i="5" s="1"/>
  <c r="R164" i="5"/>
  <c r="Q164" i="5" s="1"/>
  <c r="R165" i="5"/>
  <c r="Q165" i="5" s="1"/>
  <c r="R166" i="5"/>
  <c r="Q166" i="5" s="1"/>
  <c r="R167" i="5"/>
  <c r="Q167" i="5" s="1"/>
  <c r="R168" i="5"/>
  <c r="Q168" i="5" s="1"/>
  <c r="R170" i="5"/>
  <c r="R171" i="5"/>
  <c r="Q171" i="5" s="1"/>
  <c r="R172" i="5"/>
  <c r="Q172" i="5" s="1"/>
  <c r="R174" i="5"/>
  <c r="R175" i="5"/>
  <c r="Q175" i="5" s="1"/>
  <c r="R176" i="5"/>
  <c r="Q176" i="5" s="1"/>
  <c r="R177" i="5"/>
  <c r="Q177" i="5" s="1"/>
  <c r="R178" i="5"/>
  <c r="Q178" i="5" s="1"/>
  <c r="R180" i="5"/>
  <c r="R181" i="5"/>
  <c r="Q181" i="5" s="1"/>
  <c r="R182" i="5"/>
  <c r="Q182" i="5" s="1"/>
  <c r="R183" i="5"/>
  <c r="Q183" i="5" s="1"/>
  <c r="R184" i="5"/>
  <c r="Q184" i="5" s="1"/>
  <c r="R185" i="5"/>
  <c r="Q185" i="5" s="1"/>
  <c r="R186" i="5"/>
  <c r="Q186" i="5" s="1"/>
  <c r="R187" i="5"/>
  <c r="Q187" i="5" s="1"/>
  <c r="R188" i="5"/>
  <c r="Q188" i="5" s="1"/>
  <c r="R189" i="5"/>
  <c r="Q189" i="5" s="1"/>
  <c r="R190" i="5"/>
  <c r="Q190" i="5" s="1"/>
  <c r="R191" i="5"/>
  <c r="Q191" i="5" s="1"/>
  <c r="R192" i="5"/>
  <c r="Q192" i="5" s="1"/>
  <c r="R193" i="5"/>
  <c r="Q193" i="5" s="1"/>
  <c r="R194" i="5"/>
  <c r="Q194" i="5" s="1"/>
  <c r="R195" i="5"/>
  <c r="Q195" i="5" s="1"/>
  <c r="R196" i="5"/>
  <c r="Q196" i="5" s="1"/>
  <c r="R197" i="5"/>
  <c r="Q197" i="5" s="1"/>
  <c r="R198" i="5"/>
  <c r="Q198" i="5" s="1"/>
  <c r="R199" i="5"/>
  <c r="Q199" i="5" s="1"/>
  <c r="R200" i="5"/>
  <c r="Q200" i="5" s="1"/>
  <c r="R201" i="5"/>
  <c r="Q201" i="5" s="1"/>
  <c r="R202" i="5"/>
  <c r="Q202" i="5" s="1"/>
  <c r="R203" i="5"/>
  <c r="Q203" i="5" s="1"/>
  <c r="R204" i="5"/>
  <c r="Q204" i="5" s="1"/>
  <c r="R205" i="5"/>
  <c r="Q205" i="5" s="1"/>
  <c r="R206" i="5"/>
  <c r="Q206" i="5" s="1"/>
  <c r="R207" i="5"/>
  <c r="Q207" i="5" s="1"/>
  <c r="R208" i="5"/>
  <c r="Q208" i="5" s="1"/>
  <c r="R209" i="5"/>
  <c r="Q209" i="5" s="1"/>
  <c r="R210" i="5"/>
  <c r="Q210" i="5" s="1"/>
  <c r="R211" i="5"/>
  <c r="Q211" i="5" s="1"/>
  <c r="R212" i="5"/>
  <c r="Q212" i="5" s="1"/>
  <c r="R213" i="5"/>
  <c r="Q213" i="5" s="1"/>
  <c r="R214" i="5"/>
  <c r="Q214" i="5" s="1"/>
  <c r="R215" i="5"/>
  <c r="Q215" i="5" s="1"/>
  <c r="R216" i="5"/>
  <c r="Q216" i="5" s="1"/>
  <c r="R217" i="5"/>
  <c r="Q217" i="5" s="1"/>
  <c r="R218" i="5"/>
  <c r="Q218" i="5" s="1"/>
  <c r="R219" i="5"/>
  <c r="Q219" i="5" s="1"/>
  <c r="R220" i="5"/>
  <c r="Q220" i="5" s="1"/>
  <c r="R221" i="5"/>
  <c r="Q221" i="5" s="1"/>
  <c r="R222" i="5"/>
  <c r="Q222" i="5" s="1"/>
  <c r="R223" i="5"/>
  <c r="Q223" i="5" s="1"/>
  <c r="R224" i="5"/>
  <c r="Q224" i="5" s="1"/>
  <c r="R225" i="5"/>
  <c r="Q225" i="5" s="1"/>
  <c r="R226" i="5"/>
  <c r="Q226" i="5" s="1"/>
  <c r="R227" i="5"/>
  <c r="Q227" i="5" s="1"/>
  <c r="R228" i="5"/>
  <c r="Q228" i="5" s="1"/>
  <c r="R229" i="5"/>
  <c r="Q229" i="5" s="1"/>
  <c r="R230" i="5"/>
  <c r="Q230" i="5" s="1"/>
  <c r="R231" i="5"/>
  <c r="Q231" i="5" s="1"/>
  <c r="R232" i="5"/>
  <c r="Q232" i="5" s="1"/>
  <c r="R233" i="5"/>
  <c r="Q233" i="5" s="1"/>
  <c r="R234" i="5"/>
  <c r="Q234" i="5" s="1"/>
  <c r="R235" i="5"/>
  <c r="Q235" i="5" s="1"/>
  <c r="R236" i="5"/>
  <c r="Q236" i="5" s="1"/>
  <c r="R237" i="5"/>
  <c r="Q237" i="5" s="1"/>
  <c r="R238" i="5"/>
  <c r="Q238" i="5" s="1"/>
  <c r="R239" i="5"/>
  <c r="Q239" i="5" s="1"/>
  <c r="R240" i="5"/>
  <c r="Q240" i="5" s="1"/>
  <c r="R241" i="5"/>
  <c r="Q241" i="5" s="1"/>
  <c r="R242" i="5"/>
  <c r="Q242" i="5" s="1"/>
  <c r="R243" i="5"/>
  <c r="Q243" i="5" s="1"/>
  <c r="R244" i="5"/>
  <c r="Q244" i="5" s="1"/>
  <c r="R245" i="5"/>
  <c r="Q245" i="5" s="1"/>
  <c r="R246" i="5"/>
  <c r="Q246" i="5" s="1"/>
  <c r="R247" i="5"/>
  <c r="Q247" i="5" s="1"/>
  <c r="R248" i="5"/>
  <c r="Q248" i="5" s="1"/>
  <c r="R249" i="5"/>
  <c r="Q249" i="5" s="1"/>
  <c r="R250" i="5"/>
  <c r="Q250" i="5" s="1"/>
  <c r="R251" i="5"/>
  <c r="Q251" i="5" s="1"/>
  <c r="R252" i="5"/>
  <c r="Q252" i="5" s="1"/>
  <c r="R253" i="5"/>
  <c r="Q253" i="5" s="1"/>
  <c r="R254" i="5"/>
  <c r="Q254" i="5" s="1"/>
  <c r="R255" i="5"/>
  <c r="Q255" i="5" s="1"/>
  <c r="R256" i="5"/>
  <c r="Q256" i="5" s="1"/>
  <c r="R257" i="5"/>
  <c r="Q257" i="5" s="1"/>
  <c r="R258" i="5"/>
  <c r="Q258" i="5" s="1"/>
  <c r="R259" i="5"/>
  <c r="Q259" i="5" s="1"/>
  <c r="R260" i="5"/>
  <c r="Q260" i="5" s="1"/>
  <c r="R261" i="5"/>
  <c r="Q261" i="5" s="1"/>
  <c r="R262" i="5"/>
  <c r="Q262" i="5" s="1"/>
  <c r="R263" i="5"/>
  <c r="Q263" i="5" s="1"/>
  <c r="R264" i="5"/>
  <c r="Q264" i="5" s="1"/>
  <c r="R265" i="5"/>
  <c r="Q265" i="5" s="1"/>
  <c r="R266" i="5"/>
  <c r="Q266" i="5" s="1"/>
  <c r="R267" i="5"/>
  <c r="Q267" i="5" s="1"/>
  <c r="R268" i="5"/>
  <c r="Q268" i="5" s="1"/>
  <c r="R269" i="5"/>
  <c r="Q269" i="5" s="1"/>
  <c r="R270" i="5"/>
  <c r="Q270" i="5" s="1"/>
  <c r="R271" i="5"/>
  <c r="Q271" i="5" s="1"/>
  <c r="R272" i="5"/>
  <c r="Q272" i="5" s="1"/>
  <c r="R273" i="5"/>
  <c r="Q273" i="5" s="1"/>
  <c r="R274" i="5"/>
  <c r="Q274" i="5" s="1"/>
  <c r="R276" i="5"/>
  <c r="R277" i="5"/>
  <c r="Q277" i="5" s="1"/>
  <c r="R278" i="5"/>
  <c r="Q278" i="5" s="1"/>
  <c r="R279" i="5"/>
  <c r="Q279" i="5" s="1"/>
  <c r="R280" i="5"/>
  <c r="Q280" i="5" s="1"/>
  <c r="R281" i="5"/>
  <c r="Q281" i="5" s="1"/>
  <c r="R282" i="5"/>
  <c r="Q282" i="5" s="1"/>
  <c r="R283" i="5"/>
  <c r="Q283" i="5" s="1"/>
  <c r="R284" i="5"/>
  <c r="Q284" i="5" s="1"/>
  <c r="R285" i="5"/>
  <c r="Q285" i="5" s="1"/>
  <c r="R286" i="5"/>
  <c r="Q286" i="5" s="1"/>
  <c r="R287" i="5"/>
  <c r="Q287" i="5" s="1"/>
  <c r="R288" i="5"/>
  <c r="Q288" i="5" s="1"/>
  <c r="R289" i="5"/>
  <c r="Q289" i="5" s="1"/>
  <c r="R290" i="5"/>
  <c r="Q290" i="5" s="1"/>
  <c r="R291" i="5"/>
  <c r="Q291" i="5" s="1"/>
  <c r="R292" i="5"/>
  <c r="Q292" i="5" s="1"/>
  <c r="R293" i="5"/>
  <c r="Q293" i="5" s="1"/>
  <c r="R294" i="5"/>
  <c r="Q294" i="5" s="1"/>
  <c r="R295" i="5"/>
  <c r="Q295" i="5" s="1"/>
  <c r="R296" i="5"/>
  <c r="Q296" i="5" s="1"/>
  <c r="R297" i="5"/>
  <c r="Q297" i="5" s="1"/>
  <c r="R298" i="5"/>
  <c r="Q298" i="5" s="1"/>
  <c r="R299" i="5"/>
  <c r="Q299" i="5" s="1"/>
  <c r="R300" i="5"/>
  <c r="Q300" i="5" s="1"/>
  <c r="R301" i="5"/>
  <c r="Q301" i="5" s="1"/>
  <c r="R302" i="5"/>
  <c r="Q302" i="5" s="1"/>
  <c r="R303" i="5"/>
  <c r="Q303" i="5" s="1"/>
  <c r="R304" i="5"/>
  <c r="Q304" i="5" s="1"/>
  <c r="R305" i="5"/>
  <c r="Q305" i="5" s="1"/>
  <c r="R306" i="5"/>
  <c r="Q306" i="5" s="1"/>
  <c r="R307" i="5"/>
  <c r="Q307" i="5" s="1"/>
  <c r="R308" i="5"/>
  <c r="Q308" i="5" s="1"/>
  <c r="R309" i="5"/>
  <c r="Q309" i="5" s="1"/>
  <c r="R310" i="5"/>
  <c r="Q310" i="5" s="1"/>
  <c r="R311" i="5"/>
  <c r="Q311" i="5" s="1"/>
  <c r="R312" i="5"/>
  <c r="Q312" i="5" s="1"/>
  <c r="R313" i="5"/>
  <c r="Q313" i="5" s="1"/>
  <c r="R314" i="5"/>
  <c r="Q314" i="5" s="1"/>
  <c r="R315" i="5"/>
  <c r="Q315" i="5" s="1"/>
  <c r="R316" i="5"/>
  <c r="Q316" i="5" s="1"/>
  <c r="R317" i="5"/>
  <c r="Q317" i="5" s="1"/>
  <c r="R318" i="5"/>
  <c r="Q318" i="5" s="1"/>
  <c r="R319" i="5"/>
  <c r="Q319" i="5" s="1"/>
  <c r="R320" i="5"/>
  <c r="Q320" i="5" s="1"/>
  <c r="R321" i="5"/>
  <c r="Q321" i="5" s="1"/>
  <c r="R322" i="5"/>
  <c r="Q322" i="5" s="1"/>
  <c r="R323" i="5"/>
  <c r="Q323" i="5" s="1"/>
  <c r="R324" i="5"/>
  <c r="Q324" i="5" s="1"/>
  <c r="R325" i="5"/>
  <c r="Q325" i="5" s="1"/>
  <c r="R326" i="5"/>
  <c r="Q326" i="5" s="1"/>
  <c r="R327" i="5"/>
  <c r="Q327" i="5" s="1"/>
  <c r="R329" i="5"/>
  <c r="R330" i="5"/>
  <c r="Q330" i="5" s="1"/>
  <c r="R331" i="5"/>
  <c r="Q331" i="5" s="1"/>
  <c r="R333" i="5"/>
  <c r="R334" i="5"/>
  <c r="Q334" i="5" s="1"/>
  <c r="R335" i="5"/>
  <c r="Q335" i="5" s="1"/>
  <c r="R336" i="5"/>
  <c r="Q336" i="5" s="1"/>
  <c r="R337" i="5"/>
  <c r="Q337" i="5" s="1"/>
  <c r="R338" i="5"/>
  <c r="Q338" i="5" s="1"/>
  <c r="R340" i="5"/>
  <c r="R341" i="5"/>
  <c r="Q341" i="5" s="1"/>
  <c r="R342" i="5"/>
  <c r="Q342" i="5" s="1"/>
  <c r="R343" i="5"/>
  <c r="Q343" i="5" s="1"/>
  <c r="R345" i="5"/>
  <c r="R346" i="5"/>
  <c r="Q346" i="5" s="1"/>
  <c r="R347" i="5"/>
  <c r="Q347" i="5" s="1"/>
  <c r="R348" i="5"/>
  <c r="Q348" i="5" s="1"/>
  <c r="R349" i="5"/>
  <c r="Q349" i="5" s="1"/>
  <c r="R351" i="5"/>
  <c r="R352" i="5"/>
  <c r="Q352" i="5" s="1"/>
  <c r="R353" i="5"/>
  <c r="Q353" i="5" s="1"/>
  <c r="R354" i="5"/>
  <c r="Q354" i="5" s="1"/>
  <c r="R355" i="5"/>
  <c r="Q355" i="5" s="1"/>
  <c r="R356" i="5"/>
  <c r="Q356" i="5" s="1"/>
  <c r="R357" i="5"/>
  <c r="Q357" i="5" s="1"/>
  <c r="R358" i="5"/>
  <c r="Q358" i="5" s="1"/>
  <c r="R359" i="5"/>
  <c r="Q359" i="5" s="1"/>
  <c r="R361" i="5"/>
  <c r="R362" i="5"/>
  <c r="Q362" i="5" s="1"/>
  <c r="R363" i="5"/>
  <c r="Q363" i="5" s="1"/>
  <c r="R364" i="5"/>
  <c r="Q364" i="5" s="1"/>
  <c r="R365" i="5"/>
  <c r="Q365" i="5" s="1"/>
  <c r="R366" i="5"/>
  <c r="Q366" i="5" s="1"/>
  <c r="R367" i="5"/>
  <c r="Q367" i="5" s="1"/>
  <c r="R368" i="5"/>
  <c r="Q368" i="5" s="1"/>
  <c r="R369" i="5"/>
  <c r="Q369" i="5" s="1"/>
  <c r="R370" i="5"/>
  <c r="Q370" i="5" s="1"/>
  <c r="R371" i="5"/>
  <c r="Q371" i="5" s="1"/>
  <c r="R372" i="5"/>
  <c r="Q372" i="5" s="1"/>
  <c r="R373" i="5"/>
  <c r="Q373" i="5" s="1"/>
  <c r="R374" i="5"/>
  <c r="Q374" i="5" s="1"/>
  <c r="R375" i="5"/>
  <c r="Q375" i="5" s="1"/>
  <c r="R376" i="5"/>
  <c r="Q376" i="5" s="1"/>
  <c r="R377" i="5"/>
  <c r="Q377" i="5" s="1"/>
  <c r="R378" i="5"/>
  <c r="Q378" i="5" s="1"/>
  <c r="R379" i="5"/>
  <c r="Q379" i="5" s="1"/>
  <c r="R380" i="5"/>
  <c r="Q380" i="5" s="1"/>
  <c r="R381" i="5"/>
  <c r="Q381" i="5" s="1"/>
  <c r="R382" i="5"/>
  <c r="Q382" i="5" s="1"/>
  <c r="R383" i="5"/>
  <c r="Q383" i="5" s="1"/>
  <c r="R385" i="5"/>
  <c r="R386" i="5"/>
  <c r="Q386" i="5" s="1"/>
  <c r="R387" i="5"/>
  <c r="Q387" i="5" s="1"/>
  <c r="R388" i="5"/>
  <c r="Q388" i="5" s="1"/>
  <c r="R389" i="5"/>
  <c r="Q389" i="5" s="1"/>
  <c r="R390" i="5"/>
  <c r="Q390" i="5" s="1"/>
  <c r="R391" i="5"/>
  <c r="Q391" i="5" s="1"/>
  <c r="R392" i="5"/>
  <c r="Q392" i="5" s="1"/>
  <c r="R393" i="5"/>
  <c r="Q393" i="5" s="1"/>
  <c r="R394" i="5"/>
  <c r="Q394" i="5" s="1"/>
  <c r="R395" i="5"/>
  <c r="Q395" i="5" s="1"/>
  <c r="R396" i="5"/>
  <c r="Q396" i="5" s="1"/>
  <c r="R397" i="5"/>
  <c r="Q397" i="5" s="1"/>
  <c r="R398" i="5"/>
  <c r="Q398" i="5" s="1"/>
  <c r="R399" i="5"/>
  <c r="Q399" i="5" s="1"/>
  <c r="R400" i="5"/>
  <c r="Q400" i="5" s="1"/>
  <c r="R401" i="5"/>
  <c r="Q401" i="5" s="1"/>
  <c r="R402" i="5"/>
  <c r="Q402" i="5" s="1"/>
  <c r="R403" i="5"/>
  <c r="Q403" i="5" s="1"/>
  <c r="R404" i="5"/>
  <c r="Q404" i="5" s="1"/>
  <c r="R405" i="5"/>
  <c r="Q405" i="5" s="1"/>
  <c r="R406" i="5"/>
  <c r="Q406" i="5" s="1"/>
  <c r="R407" i="5"/>
  <c r="Q407" i="5" s="1"/>
  <c r="R408" i="5"/>
  <c r="Q408" i="5" s="1"/>
  <c r="R409" i="5"/>
  <c r="Q409" i="5" s="1"/>
  <c r="R410" i="5"/>
  <c r="Q410" i="5" s="1"/>
  <c r="R411" i="5"/>
  <c r="Q411" i="5" s="1"/>
  <c r="R412" i="5"/>
  <c r="Q412" i="5" s="1"/>
  <c r="R413" i="5"/>
  <c r="Q413" i="5" s="1"/>
  <c r="R414" i="5"/>
  <c r="Q414" i="5" s="1"/>
  <c r="R415" i="5"/>
  <c r="Q415" i="5" s="1"/>
  <c r="R416" i="5"/>
  <c r="Q416" i="5" s="1"/>
  <c r="R417" i="5"/>
  <c r="Q417" i="5" s="1"/>
  <c r="R418" i="5"/>
  <c r="Q418" i="5" s="1"/>
  <c r="R419" i="5"/>
  <c r="Q419" i="5" s="1"/>
  <c r="R420" i="5"/>
  <c r="Q420" i="5" s="1"/>
  <c r="R421" i="5"/>
  <c r="Q421" i="5" s="1"/>
  <c r="R422" i="5"/>
  <c r="Q422" i="5" s="1"/>
  <c r="R423" i="5"/>
  <c r="Q423" i="5" s="1"/>
  <c r="R424" i="5"/>
  <c r="Q424" i="5" s="1"/>
  <c r="R425" i="5"/>
  <c r="Q425" i="5" s="1"/>
  <c r="R426" i="5"/>
  <c r="Q426" i="5" s="1"/>
  <c r="R427" i="5"/>
  <c r="Q427" i="5" s="1"/>
  <c r="R428" i="5"/>
  <c r="Q428" i="5" s="1"/>
  <c r="R429" i="5"/>
  <c r="Q429" i="5" s="1"/>
  <c r="R430" i="5"/>
  <c r="Q430" i="5" s="1"/>
  <c r="R431" i="5"/>
  <c r="Q431" i="5" s="1"/>
  <c r="R432" i="5"/>
  <c r="Q432" i="5" s="1"/>
  <c r="R433" i="5"/>
  <c r="Q433" i="5" s="1"/>
  <c r="R434" i="5"/>
  <c r="Q434" i="5" s="1"/>
  <c r="R435" i="5"/>
  <c r="Q435" i="5" s="1"/>
  <c r="R436" i="5"/>
  <c r="Q436" i="5" s="1"/>
  <c r="R437" i="5"/>
  <c r="Q437" i="5" s="1"/>
  <c r="R438" i="5"/>
  <c r="Q438" i="5" s="1"/>
  <c r="R439" i="5"/>
  <c r="Q439" i="5" s="1"/>
  <c r="R440" i="5"/>
  <c r="Q440" i="5" s="1"/>
  <c r="R441" i="5"/>
  <c r="Q441" i="5" s="1"/>
  <c r="R442" i="5"/>
  <c r="Q442" i="5" s="1"/>
  <c r="R443" i="5"/>
  <c r="Q443" i="5" s="1"/>
  <c r="R444" i="5"/>
  <c r="Q444" i="5" s="1"/>
  <c r="R445" i="5"/>
  <c r="Q445" i="5" s="1"/>
  <c r="R446" i="5"/>
  <c r="Q446" i="5" s="1"/>
  <c r="R447" i="5"/>
  <c r="Q447" i="5" s="1"/>
  <c r="R448" i="5"/>
  <c r="Q448" i="5" s="1"/>
  <c r="R449" i="5"/>
  <c r="Q449" i="5" s="1"/>
  <c r="R450" i="5"/>
  <c r="Q450" i="5" s="1"/>
  <c r="R451" i="5"/>
  <c r="Q451" i="5" s="1"/>
  <c r="R452" i="5"/>
  <c r="Q452" i="5" s="1"/>
  <c r="R453" i="5"/>
  <c r="Q453" i="5" s="1"/>
  <c r="R454" i="5"/>
  <c r="Q454" i="5" s="1"/>
  <c r="R455" i="5"/>
  <c r="Q455" i="5" s="1"/>
  <c r="R456" i="5"/>
  <c r="Q456" i="5" s="1"/>
  <c r="R457" i="5"/>
  <c r="Q457" i="5" s="1"/>
  <c r="R458" i="5"/>
  <c r="Q458" i="5" s="1"/>
  <c r="R459" i="5"/>
  <c r="Q459" i="5" s="1"/>
  <c r="R460" i="5"/>
  <c r="Q460" i="5" s="1"/>
  <c r="R461" i="5"/>
  <c r="Q461" i="5" s="1"/>
  <c r="R462" i="5"/>
  <c r="Q462" i="5" s="1"/>
  <c r="R463" i="5"/>
  <c r="Q463" i="5" s="1"/>
  <c r="R464" i="5"/>
  <c r="Q464" i="5" s="1"/>
  <c r="R465" i="5"/>
  <c r="Q465" i="5" s="1"/>
  <c r="R466" i="5"/>
  <c r="Q466" i="5" s="1"/>
  <c r="R467" i="5"/>
  <c r="Q467" i="5" s="1"/>
  <c r="R468" i="5"/>
  <c r="Q468" i="5" s="1"/>
  <c r="R469" i="5"/>
  <c r="Q469" i="5" s="1"/>
  <c r="R470" i="5"/>
  <c r="Q470" i="5" s="1"/>
  <c r="R471" i="5"/>
  <c r="Q471" i="5" s="1"/>
  <c r="R472" i="5"/>
  <c r="Q472" i="5" s="1"/>
  <c r="R473" i="5"/>
  <c r="Q473" i="5" s="1"/>
  <c r="R474" i="5"/>
  <c r="Q474" i="5" s="1"/>
  <c r="R475" i="5"/>
  <c r="Q475" i="5" s="1"/>
  <c r="R477" i="5"/>
  <c r="R479" i="5"/>
  <c r="R480" i="5"/>
  <c r="Q480" i="5" s="1"/>
  <c r="R481" i="5"/>
  <c r="Q481" i="5" s="1"/>
  <c r="R482" i="5"/>
  <c r="Q482" i="5" s="1"/>
  <c r="R483" i="5"/>
  <c r="Q483" i="5" s="1"/>
  <c r="R484" i="5"/>
  <c r="Q484" i="5" s="1"/>
  <c r="R485" i="5"/>
  <c r="Q485" i="5" s="1"/>
  <c r="R486" i="5"/>
  <c r="Q486" i="5" s="1"/>
  <c r="R487" i="5"/>
  <c r="Q487" i="5" s="1"/>
  <c r="R488" i="5"/>
  <c r="Q488" i="5" s="1"/>
  <c r="R489" i="5"/>
  <c r="Q489" i="5" s="1"/>
  <c r="R490" i="5"/>
  <c r="Q490" i="5" s="1"/>
  <c r="R491" i="5"/>
  <c r="Q491" i="5" s="1"/>
  <c r="R492" i="5"/>
  <c r="Q492" i="5" s="1"/>
  <c r="R493" i="5"/>
  <c r="Q493" i="5" s="1"/>
  <c r="R494" i="5"/>
  <c r="Q494" i="5" s="1"/>
  <c r="R495" i="5"/>
  <c r="Q495" i="5" s="1"/>
  <c r="R496" i="5"/>
  <c r="Q496" i="5" s="1"/>
  <c r="R497" i="5"/>
  <c r="Q497" i="5" s="1"/>
  <c r="R498" i="5"/>
  <c r="Q498" i="5" s="1"/>
  <c r="R500" i="5"/>
  <c r="R501" i="5"/>
  <c r="Q501" i="5" s="1"/>
  <c r="R502" i="5"/>
  <c r="Q502" i="5" s="1"/>
  <c r="R503" i="5"/>
  <c r="Q503" i="5" s="1"/>
  <c r="R504" i="5"/>
  <c r="Q504" i="5" s="1"/>
  <c r="R505" i="5"/>
  <c r="Q505" i="5" s="1"/>
  <c r="R507" i="5"/>
  <c r="R509" i="5"/>
  <c r="R510" i="5"/>
  <c r="Q510" i="5" s="1"/>
  <c r="R511" i="5"/>
  <c r="Q511" i="5" s="1"/>
  <c r="R513" i="5"/>
  <c r="R514" i="5"/>
  <c r="Q514" i="5" s="1"/>
  <c r="R515" i="5"/>
  <c r="Q515" i="5" s="1"/>
  <c r="R516" i="5"/>
  <c r="Q516" i="5" s="1"/>
  <c r="R517" i="5"/>
  <c r="Q517" i="5" s="1"/>
  <c r="R518" i="5"/>
  <c r="Q518" i="5" s="1"/>
  <c r="R519" i="5"/>
  <c r="Q519" i="5" s="1"/>
  <c r="R520" i="5"/>
  <c r="Q520" i="5" s="1"/>
  <c r="R521" i="5"/>
  <c r="Q521" i="5" s="1"/>
  <c r="R522" i="5"/>
  <c r="Q522" i="5" s="1"/>
  <c r="R523" i="5"/>
  <c r="Q523" i="5" s="1"/>
  <c r="R524" i="5"/>
  <c r="Q524" i="5" s="1"/>
  <c r="R525" i="5"/>
  <c r="Q525" i="5" s="1"/>
  <c r="R526" i="5"/>
  <c r="Q526" i="5" s="1"/>
  <c r="R527" i="5"/>
  <c r="Q527" i="5" s="1"/>
  <c r="R528" i="5"/>
  <c r="Q528" i="5" s="1"/>
  <c r="R529" i="5"/>
  <c r="Q529" i="5" s="1"/>
  <c r="R530" i="5"/>
  <c r="Q530" i="5" s="1"/>
  <c r="R531" i="5"/>
  <c r="Q531" i="5" s="1"/>
  <c r="R532" i="5"/>
  <c r="Q532" i="5" s="1"/>
  <c r="R533" i="5"/>
  <c r="Q533" i="5" s="1"/>
  <c r="R534" i="5"/>
  <c r="Q534" i="5" s="1"/>
  <c r="R535" i="5"/>
  <c r="Q535" i="5" s="1"/>
  <c r="R536" i="5"/>
  <c r="Q536" i="5" s="1"/>
  <c r="R537" i="5"/>
  <c r="Q537" i="5" s="1"/>
  <c r="R539" i="5"/>
  <c r="R540" i="5"/>
  <c r="Q540" i="5" s="1"/>
  <c r="R541" i="5"/>
  <c r="Q541" i="5" s="1"/>
  <c r="R542" i="5"/>
  <c r="Q542" i="5" s="1"/>
  <c r="R543" i="5"/>
  <c r="Q543" i="5" s="1"/>
  <c r="R544" i="5"/>
  <c r="Q544" i="5" s="1"/>
  <c r="R546" i="5"/>
  <c r="R547" i="5"/>
  <c r="Q547" i="5" s="1"/>
  <c r="R548" i="5"/>
  <c r="Q548" i="5" s="1"/>
  <c r="R550" i="5"/>
  <c r="R551" i="5"/>
  <c r="Q551" i="5" s="1"/>
  <c r="R552" i="5"/>
  <c r="Q552" i="5" s="1"/>
  <c r="R553" i="5"/>
  <c r="Q553" i="5" s="1"/>
  <c r="R554" i="5"/>
  <c r="Q554" i="5" s="1"/>
  <c r="R555" i="5"/>
  <c r="Q555" i="5" s="1"/>
  <c r="R556" i="5"/>
  <c r="Q556" i="5" s="1"/>
  <c r="R557" i="5"/>
  <c r="Q557" i="5" s="1"/>
  <c r="R559" i="5"/>
  <c r="R560" i="5"/>
  <c r="Q560" i="5" s="1"/>
  <c r="R561" i="5"/>
  <c r="Q561" i="5" s="1"/>
  <c r="R562" i="5"/>
  <c r="Q562" i="5" s="1"/>
  <c r="R563" i="5"/>
  <c r="Q563" i="5" s="1"/>
  <c r="R564" i="5"/>
  <c r="Q564" i="5" s="1"/>
  <c r="R565" i="5"/>
  <c r="Q565" i="5" s="1"/>
  <c r="R566" i="5"/>
  <c r="Q566" i="5" s="1"/>
  <c r="R567" i="5"/>
  <c r="Q567" i="5" s="1"/>
  <c r="R568" i="5"/>
  <c r="Q568" i="5" s="1"/>
  <c r="R569" i="5"/>
  <c r="Q569" i="5" s="1"/>
  <c r="R570" i="5"/>
  <c r="Q570" i="5" s="1"/>
  <c r="R571" i="5"/>
  <c r="Q571" i="5" s="1"/>
  <c r="R572" i="5"/>
  <c r="Q572" i="5" s="1"/>
  <c r="R573" i="5"/>
  <c r="Q573" i="5" s="1"/>
  <c r="R574" i="5"/>
  <c r="Q574" i="5" s="1"/>
  <c r="R575" i="5"/>
  <c r="Q575" i="5" s="1"/>
  <c r="R576" i="5"/>
  <c r="Q576" i="5" s="1"/>
  <c r="R577" i="5"/>
  <c r="Q577" i="5" s="1"/>
  <c r="R578" i="5"/>
  <c r="Q578" i="5" s="1"/>
  <c r="R579" i="5"/>
  <c r="Q579" i="5" s="1"/>
  <c r="R580" i="5"/>
  <c r="Q580" i="5" s="1"/>
  <c r="R581" i="5"/>
  <c r="Q581" i="5" s="1"/>
  <c r="R582" i="5"/>
  <c r="Q582" i="5" s="1"/>
  <c r="R583" i="5"/>
  <c r="Q583" i="5" s="1"/>
  <c r="R584" i="5"/>
  <c r="Q584" i="5" s="1"/>
  <c r="R585" i="5"/>
  <c r="Q585" i="5" s="1"/>
  <c r="R586" i="5"/>
  <c r="Q586" i="5" s="1"/>
  <c r="R587" i="5"/>
  <c r="Q587" i="5" s="1"/>
  <c r="R588" i="5"/>
  <c r="Q588" i="5" s="1"/>
  <c r="R589" i="5"/>
  <c r="Q589" i="5" s="1"/>
  <c r="R590" i="5"/>
  <c r="Q590" i="5" s="1"/>
  <c r="R591" i="5"/>
  <c r="Q591" i="5" s="1"/>
  <c r="R592" i="5"/>
  <c r="Q592" i="5" s="1"/>
  <c r="R593" i="5"/>
  <c r="Q593" i="5" s="1"/>
  <c r="R594" i="5"/>
  <c r="Q594" i="5" s="1"/>
  <c r="R595" i="5"/>
  <c r="Q595" i="5" s="1"/>
  <c r="R596" i="5"/>
  <c r="Q596" i="5" s="1"/>
  <c r="R597" i="5"/>
  <c r="Q597" i="5" s="1"/>
  <c r="R598" i="5"/>
  <c r="Q598" i="5" s="1"/>
  <c r="R599" i="5"/>
  <c r="Q599" i="5" s="1"/>
  <c r="R600" i="5"/>
  <c r="Q600" i="5" s="1"/>
  <c r="R601" i="5"/>
  <c r="Q601" i="5" s="1"/>
  <c r="R602" i="5"/>
  <c r="Q602" i="5" s="1"/>
  <c r="R603" i="5"/>
  <c r="Q603" i="5" s="1"/>
  <c r="R604" i="5"/>
  <c r="Q604" i="5" s="1"/>
  <c r="R605" i="5"/>
  <c r="Q605" i="5" s="1"/>
  <c r="R606" i="5"/>
  <c r="Q606" i="5" s="1"/>
  <c r="R607" i="5"/>
  <c r="Q607" i="5" s="1"/>
  <c r="R608" i="5"/>
  <c r="Q608" i="5" s="1"/>
  <c r="R609" i="5"/>
  <c r="Q609" i="5" s="1"/>
  <c r="R610" i="5"/>
  <c r="Q610" i="5" s="1"/>
  <c r="R611" i="5"/>
  <c r="Q611" i="5" s="1"/>
  <c r="R612" i="5"/>
  <c r="Q612" i="5" s="1"/>
  <c r="R613" i="5"/>
  <c r="Q613" i="5" s="1"/>
  <c r="R614" i="5"/>
  <c r="Q614" i="5" s="1"/>
  <c r="R615" i="5"/>
  <c r="Q615" i="5" s="1"/>
  <c r="R616" i="5"/>
  <c r="Q616" i="5" s="1"/>
  <c r="R617" i="5"/>
  <c r="Q617" i="5" s="1"/>
  <c r="R618" i="5"/>
  <c r="Q618" i="5" s="1"/>
  <c r="R619" i="5"/>
  <c r="Q619" i="5" s="1"/>
  <c r="R620" i="5"/>
  <c r="Q620" i="5" s="1"/>
  <c r="R621" i="5"/>
  <c r="Q621" i="5" s="1"/>
  <c r="R622" i="5"/>
  <c r="Q622" i="5" s="1"/>
  <c r="R623" i="5"/>
  <c r="Q623" i="5" s="1"/>
  <c r="R624" i="5"/>
  <c r="Q624" i="5" s="1"/>
  <c r="R625" i="5"/>
  <c r="Q625" i="5" s="1"/>
  <c r="R626" i="5"/>
  <c r="Q626" i="5" s="1"/>
  <c r="R627" i="5"/>
  <c r="Q627" i="5" s="1"/>
  <c r="R628" i="5"/>
  <c r="Q628" i="5" s="1"/>
  <c r="R629" i="5"/>
  <c r="Q629" i="5" s="1"/>
  <c r="R630" i="5"/>
  <c r="Q630" i="5" s="1"/>
  <c r="R631" i="5"/>
  <c r="Q631" i="5" s="1"/>
  <c r="R632" i="5"/>
  <c r="Q632" i="5" s="1"/>
  <c r="R633" i="5"/>
  <c r="Q633" i="5" s="1"/>
  <c r="R634" i="5"/>
  <c r="Q634" i="5" s="1"/>
  <c r="R635" i="5"/>
  <c r="Q635" i="5" s="1"/>
  <c r="R636" i="5"/>
  <c r="Q636" i="5" s="1"/>
  <c r="R637" i="5"/>
  <c r="Q637" i="5" s="1"/>
  <c r="R638" i="5"/>
  <c r="Q638" i="5" s="1"/>
  <c r="R639" i="5"/>
  <c r="Q639" i="5" s="1"/>
  <c r="R640" i="5"/>
  <c r="Q640" i="5" s="1"/>
  <c r="R641" i="5"/>
  <c r="Q641" i="5" s="1"/>
  <c r="R642" i="5"/>
  <c r="Q642" i="5" s="1"/>
  <c r="R643" i="5"/>
  <c r="Q643" i="5" s="1"/>
  <c r="R644" i="5"/>
  <c r="Q644" i="5" s="1"/>
  <c r="R645" i="5"/>
  <c r="Q645" i="5" s="1"/>
  <c r="R646" i="5"/>
  <c r="Q646" i="5" s="1"/>
  <c r="R647" i="5"/>
  <c r="Q647" i="5" s="1"/>
  <c r="R648" i="5"/>
  <c r="Q648" i="5" s="1"/>
  <c r="R649" i="5"/>
  <c r="Q649" i="5" s="1"/>
  <c r="R650" i="5"/>
  <c r="Q650" i="5" s="1"/>
  <c r="R651" i="5"/>
  <c r="Q651" i="5" s="1"/>
  <c r="R652" i="5"/>
  <c r="Q652" i="5" s="1"/>
  <c r="R653" i="5"/>
  <c r="Q653" i="5" s="1"/>
  <c r="R654" i="5"/>
  <c r="Q654" i="5" s="1"/>
  <c r="R655" i="5"/>
  <c r="Q655" i="5" s="1"/>
  <c r="R656" i="5"/>
  <c r="Q656" i="5" s="1"/>
  <c r="R657" i="5"/>
  <c r="Q657" i="5" s="1"/>
  <c r="R658" i="5"/>
  <c r="Q658" i="5" s="1"/>
  <c r="R659" i="5"/>
  <c r="Q659" i="5" s="1"/>
  <c r="R660" i="5"/>
  <c r="Q660" i="5" s="1"/>
  <c r="R661" i="5"/>
  <c r="Q661" i="5" s="1"/>
  <c r="R662" i="5"/>
  <c r="Q662" i="5" s="1"/>
  <c r="R663" i="5"/>
  <c r="Q663" i="5" s="1"/>
  <c r="R664" i="5"/>
  <c r="Q664" i="5" s="1"/>
  <c r="R665" i="5"/>
  <c r="Q665" i="5" s="1"/>
  <c r="R666" i="5"/>
  <c r="Q666" i="5" s="1"/>
  <c r="R667" i="5"/>
  <c r="Q667" i="5" s="1"/>
  <c r="R668" i="5"/>
  <c r="Q668" i="5" s="1"/>
  <c r="R669" i="5"/>
  <c r="Q669" i="5" s="1"/>
  <c r="R670" i="5"/>
  <c r="Q670" i="5" s="1"/>
  <c r="R671" i="5"/>
  <c r="Q671" i="5" s="1"/>
  <c r="R672" i="5"/>
  <c r="Q672" i="5" s="1"/>
  <c r="R673" i="5"/>
  <c r="Q673" i="5" s="1"/>
  <c r="R674" i="5"/>
  <c r="Q674" i="5" s="1"/>
  <c r="R675" i="5"/>
  <c r="Q675" i="5" s="1"/>
  <c r="R676" i="5"/>
  <c r="Q676" i="5" s="1"/>
  <c r="R677" i="5"/>
  <c r="Q677" i="5" s="1"/>
  <c r="R678" i="5"/>
  <c r="Q678" i="5" s="1"/>
  <c r="R679" i="5"/>
  <c r="Q679" i="5" s="1"/>
  <c r="R680" i="5"/>
  <c r="Q680" i="5" s="1"/>
  <c r="R681" i="5"/>
  <c r="Q681" i="5" s="1"/>
  <c r="R682" i="5"/>
  <c r="Q682" i="5" s="1"/>
  <c r="R683" i="5"/>
  <c r="Q683" i="5" s="1"/>
  <c r="R684" i="5"/>
  <c r="Q684" i="5" s="1"/>
  <c r="R685" i="5"/>
  <c r="Q685" i="5" s="1"/>
  <c r="R686" i="5"/>
  <c r="Q686" i="5" s="1"/>
  <c r="R687" i="5"/>
  <c r="Q687" i="5" s="1"/>
  <c r="R688" i="5"/>
  <c r="Q688" i="5" s="1"/>
  <c r="R689" i="5"/>
  <c r="Q689" i="5" s="1"/>
  <c r="R690" i="5"/>
  <c r="Q690" i="5" s="1"/>
  <c r="R691" i="5"/>
  <c r="Q691" i="5" s="1"/>
  <c r="R692" i="5"/>
  <c r="Q692" i="5" s="1"/>
  <c r="R694" i="5"/>
  <c r="R695" i="5"/>
  <c r="Q695" i="5" s="1"/>
  <c r="R696" i="5"/>
  <c r="Q696" i="5" s="1"/>
  <c r="R697" i="5"/>
  <c r="Q697" i="5" s="1"/>
  <c r="R698" i="5"/>
  <c r="Q698" i="5" s="1"/>
  <c r="R699" i="5"/>
  <c r="Q699" i="5" s="1"/>
  <c r="R700" i="5"/>
  <c r="Q700" i="5" s="1"/>
  <c r="R701" i="5"/>
  <c r="Q701" i="5" s="1"/>
  <c r="R702" i="5"/>
  <c r="Q702" i="5" s="1"/>
  <c r="R703" i="5"/>
  <c r="Q703" i="5" s="1"/>
  <c r="R704" i="5"/>
  <c r="Q704" i="5" s="1"/>
  <c r="R705" i="5"/>
  <c r="Q705" i="5" s="1"/>
  <c r="R706" i="5"/>
  <c r="Q706" i="5" s="1"/>
  <c r="R707" i="5"/>
  <c r="Q707" i="5" s="1"/>
  <c r="R708" i="5"/>
  <c r="Q708" i="5" s="1"/>
  <c r="R709" i="5"/>
  <c r="Q709" i="5" s="1"/>
  <c r="R710" i="5"/>
  <c r="Q710" i="5" s="1"/>
  <c r="R711" i="5"/>
  <c r="Q711" i="5" s="1"/>
  <c r="R712" i="5"/>
  <c r="Q712" i="5" s="1"/>
  <c r="R713" i="5"/>
  <c r="Q713" i="5" s="1"/>
  <c r="R714" i="5"/>
  <c r="Q714" i="5" s="1"/>
  <c r="R715" i="5"/>
  <c r="Q715" i="5" s="1"/>
  <c r="R716" i="5"/>
  <c r="Q716" i="5" s="1"/>
  <c r="R717" i="5"/>
  <c r="Q717" i="5" s="1"/>
  <c r="R718" i="5"/>
  <c r="Q718" i="5" s="1"/>
  <c r="R719" i="5"/>
  <c r="Q719" i="5" s="1"/>
  <c r="R720" i="5"/>
  <c r="Q720" i="5" s="1"/>
  <c r="R721" i="5"/>
  <c r="Q721" i="5" s="1"/>
  <c r="R722" i="5"/>
  <c r="Q722" i="5" s="1"/>
  <c r="R723" i="5"/>
  <c r="Q723" i="5" s="1"/>
  <c r="R724" i="5"/>
  <c r="Q724" i="5" s="1"/>
  <c r="R725" i="5"/>
  <c r="Q725" i="5" s="1"/>
  <c r="R726" i="5"/>
  <c r="Q726" i="5" s="1"/>
  <c r="R727" i="5"/>
  <c r="Q727" i="5" s="1"/>
  <c r="R728" i="5"/>
  <c r="Q728" i="5" s="1"/>
  <c r="R729" i="5"/>
  <c r="Q729" i="5" s="1"/>
  <c r="R730" i="5"/>
  <c r="Q730" i="5" s="1"/>
  <c r="R731" i="5"/>
  <c r="Q731" i="5" s="1"/>
  <c r="R732" i="5"/>
  <c r="Q732" i="5" s="1"/>
  <c r="R733" i="5"/>
  <c r="Q733" i="5" s="1"/>
  <c r="R734" i="5"/>
  <c r="Q734" i="5" s="1"/>
  <c r="R735" i="5"/>
  <c r="Q735" i="5" s="1"/>
  <c r="R736" i="5"/>
  <c r="Q736" i="5" s="1"/>
  <c r="R737" i="5"/>
  <c r="Q737" i="5" s="1"/>
  <c r="R738" i="5"/>
  <c r="Q738" i="5" s="1"/>
  <c r="R739" i="5"/>
  <c r="Q739" i="5" s="1"/>
  <c r="R740" i="5"/>
  <c r="Q740" i="5" s="1"/>
  <c r="R741" i="5"/>
  <c r="Q741" i="5" s="1"/>
  <c r="R742" i="5"/>
  <c r="Q742" i="5" s="1"/>
  <c r="R743" i="5"/>
  <c r="Q743" i="5" s="1"/>
  <c r="R744" i="5"/>
  <c r="Q744" i="5" s="1"/>
  <c r="R745" i="5"/>
  <c r="Q745" i="5" s="1"/>
  <c r="R746" i="5"/>
  <c r="Q746" i="5" s="1"/>
  <c r="R747" i="5"/>
  <c r="Q747" i="5" s="1"/>
  <c r="R748" i="5"/>
  <c r="Q748" i="5" s="1"/>
  <c r="R749" i="5"/>
  <c r="Q749" i="5" s="1"/>
  <c r="R750" i="5"/>
  <c r="Q750" i="5" s="1"/>
  <c r="R751" i="5"/>
  <c r="Q751" i="5" s="1"/>
  <c r="R752" i="5"/>
  <c r="Q752" i="5" s="1"/>
  <c r="R753" i="5"/>
  <c r="Q753" i="5" s="1"/>
  <c r="R754" i="5"/>
  <c r="Q754" i="5" s="1"/>
  <c r="R755" i="5"/>
  <c r="Q755" i="5" s="1"/>
  <c r="R756" i="5"/>
  <c r="Q756" i="5" s="1"/>
  <c r="R757" i="5"/>
  <c r="Q757" i="5" s="1"/>
  <c r="R758" i="5"/>
  <c r="Q758" i="5" s="1"/>
  <c r="R759" i="5"/>
  <c r="Q759" i="5" s="1"/>
  <c r="R760" i="5"/>
  <c r="Q760" i="5" s="1"/>
  <c r="R761" i="5"/>
  <c r="Q761" i="5" s="1"/>
  <c r="R762" i="5"/>
  <c r="Q762" i="5" s="1"/>
  <c r="R763" i="5"/>
  <c r="Q763" i="5" s="1"/>
  <c r="R764" i="5"/>
  <c r="Q764" i="5" s="1"/>
  <c r="R765" i="5"/>
  <c r="Q765" i="5" s="1"/>
  <c r="R766" i="5"/>
  <c r="Q766" i="5" s="1"/>
  <c r="R767" i="5"/>
  <c r="Q767" i="5" s="1"/>
  <c r="R768" i="5"/>
  <c r="Q768" i="5" s="1"/>
  <c r="R769" i="5"/>
  <c r="Q769" i="5" s="1"/>
  <c r="R770" i="5"/>
  <c r="Q770" i="5" s="1"/>
  <c r="R771" i="5"/>
  <c r="Q771" i="5" s="1"/>
  <c r="R772" i="5"/>
  <c r="Q772" i="5" s="1"/>
  <c r="R773" i="5"/>
  <c r="Q773" i="5" s="1"/>
  <c r="R774" i="5"/>
  <c r="Q774" i="5" s="1"/>
  <c r="R775" i="5"/>
  <c r="Q775" i="5" s="1"/>
  <c r="R776" i="5"/>
  <c r="Q776" i="5" s="1"/>
  <c r="R777" i="5"/>
  <c r="Q777" i="5" s="1"/>
  <c r="R778" i="5"/>
  <c r="Q778" i="5" s="1"/>
  <c r="R779" i="5"/>
  <c r="Q779" i="5" s="1"/>
  <c r="R780" i="5"/>
  <c r="Q780" i="5" s="1"/>
  <c r="R781" i="5"/>
  <c r="Q781" i="5" s="1"/>
  <c r="R782" i="5"/>
  <c r="Q782" i="5" s="1"/>
  <c r="R784" i="5"/>
  <c r="R785" i="5"/>
  <c r="Q785" i="5" s="1"/>
  <c r="R786" i="5"/>
  <c r="Q786" i="5" s="1"/>
  <c r="R787" i="5"/>
  <c r="Q787" i="5" s="1"/>
  <c r="R788" i="5"/>
  <c r="Q788" i="5" s="1"/>
  <c r="R789" i="5"/>
  <c r="Q789" i="5" s="1"/>
  <c r="R790" i="5"/>
  <c r="Q790" i="5" s="1"/>
  <c r="R791" i="5"/>
  <c r="Q791" i="5" s="1"/>
  <c r="R792" i="5"/>
  <c r="Q792" i="5" s="1"/>
  <c r="R793" i="5"/>
  <c r="Q793" i="5" s="1"/>
  <c r="R794" i="5"/>
  <c r="Q794" i="5" s="1"/>
  <c r="R795" i="5"/>
  <c r="Q795" i="5" s="1"/>
  <c r="R796" i="5"/>
  <c r="Q796" i="5" s="1"/>
  <c r="R797" i="5"/>
  <c r="Q797" i="5" s="1"/>
  <c r="R798" i="5"/>
  <c r="Q798" i="5" s="1"/>
  <c r="R799" i="5"/>
  <c r="Q799" i="5" s="1"/>
  <c r="R800" i="5"/>
  <c r="Q800" i="5" s="1"/>
  <c r="R801" i="5"/>
  <c r="Q801" i="5" s="1"/>
  <c r="R802" i="5"/>
  <c r="Q802" i="5" s="1"/>
  <c r="R803" i="5"/>
  <c r="Q803" i="5" s="1"/>
  <c r="R804" i="5"/>
  <c r="Q804" i="5" s="1"/>
  <c r="R805" i="5"/>
  <c r="Q805" i="5" s="1"/>
  <c r="R806" i="5"/>
  <c r="Q806" i="5" s="1"/>
  <c r="R807" i="5"/>
  <c r="Q807" i="5" s="1"/>
  <c r="R808" i="5"/>
  <c r="Q808" i="5" s="1"/>
  <c r="R809" i="5"/>
  <c r="Q809" i="5" s="1"/>
  <c r="R810" i="5"/>
  <c r="Q810" i="5" s="1"/>
  <c r="R811" i="5"/>
  <c r="Q811" i="5" s="1"/>
  <c r="R812" i="5"/>
  <c r="Q812" i="5" s="1"/>
  <c r="R813" i="5"/>
  <c r="Q813" i="5" s="1"/>
  <c r="R814" i="5"/>
  <c r="Q814" i="5" s="1"/>
  <c r="R815" i="5"/>
  <c r="Q815" i="5" s="1"/>
  <c r="R816" i="5"/>
  <c r="Q816" i="5" s="1"/>
  <c r="R817" i="5"/>
  <c r="Q817" i="5" s="1"/>
  <c r="R818" i="5"/>
  <c r="Q818" i="5" s="1"/>
  <c r="R819" i="5"/>
  <c r="Q819" i="5" s="1"/>
  <c r="R820" i="5"/>
  <c r="Q820" i="5" s="1"/>
  <c r="R821" i="5"/>
  <c r="Q821" i="5" s="1"/>
  <c r="R822" i="5"/>
  <c r="Q822" i="5" s="1"/>
  <c r="R823" i="5"/>
  <c r="Q823" i="5" s="1"/>
  <c r="R824" i="5"/>
  <c r="Q824" i="5" s="1"/>
  <c r="R825" i="5"/>
  <c r="Q825" i="5" s="1"/>
  <c r="R826" i="5"/>
  <c r="Q826" i="5" s="1"/>
  <c r="R827" i="5"/>
  <c r="Q827" i="5" s="1"/>
  <c r="R828" i="5"/>
  <c r="Q828" i="5" s="1"/>
  <c r="R829" i="5"/>
  <c r="Q829" i="5" s="1"/>
  <c r="R830" i="5"/>
  <c r="Q830" i="5" s="1"/>
  <c r="R831" i="5"/>
  <c r="Q831" i="5" s="1"/>
  <c r="R832" i="5"/>
  <c r="Q832" i="5" s="1"/>
  <c r="R833" i="5"/>
  <c r="Q833" i="5" s="1"/>
  <c r="R834" i="5"/>
  <c r="Q834" i="5" s="1"/>
  <c r="R835" i="5"/>
  <c r="Q835" i="5" s="1"/>
  <c r="R836" i="5"/>
  <c r="Q836" i="5" s="1"/>
  <c r="R837" i="5"/>
  <c r="Q837" i="5" s="1"/>
  <c r="R838" i="5"/>
  <c r="Q838" i="5" s="1"/>
  <c r="R839" i="5"/>
  <c r="Q839" i="5" s="1"/>
  <c r="R840" i="5"/>
  <c r="Q840" i="5" s="1"/>
  <c r="R841" i="5"/>
  <c r="Q841" i="5" s="1"/>
  <c r="R842" i="5"/>
  <c r="Q842" i="5" s="1"/>
  <c r="R843" i="5"/>
  <c r="Q843" i="5" s="1"/>
  <c r="R844" i="5"/>
  <c r="Q844" i="5" s="1"/>
  <c r="R845" i="5"/>
  <c r="Q845" i="5" s="1"/>
  <c r="R846" i="5"/>
  <c r="Q846" i="5" s="1"/>
  <c r="R847" i="5"/>
  <c r="Q847" i="5" s="1"/>
  <c r="R848" i="5"/>
  <c r="Q848" i="5" s="1"/>
  <c r="R849" i="5"/>
  <c r="Q849" i="5" s="1"/>
  <c r="R850" i="5"/>
  <c r="Q850" i="5" s="1"/>
  <c r="R851" i="5"/>
  <c r="Q851" i="5" s="1"/>
  <c r="R852" i="5"/>
  <c r="Q852" i="5" s="1"/>
  <c r="R853" i="5"/>
  <c r="Q853" i="5" s="1"/>
  <c r="R854" i="5"/>
  <c r="Q854" i="5" s="1"/>
  <c r="R855" i="5"/>
  <c r="Q855" i="5" s="1"/>
  <c r="R856" i="5"/>
  <c r="Q856" i="5" s="1"/>
  <c r="R857" i="5"/>
  <c r="Q857" i="5" s="1"/>
  <c r="R858" i="5"/>
  <c r="Q858" i="5" s="1"/>
  <c r="R859" i="5"/>
  <c r="Q859" i="5" s="1"/>
  <c r="R860" i="5"/>
  <c r="Q860" i="5" s="1"/>
  <c r="R861" i="5"/>
  <c r="Q861" i="5" s="1"/>
  <c r="R862" i="5"/>
  <c r="Q862" i="5" s="1"/>
  <c r="R863" i="5"/>
  <c r="Q863" i="5" s="1"/>
  <c r="R864" i="5"/>
  <c r="Q864" i="5" s="1"/>
  <c r="R865" i="5"/>
  <c r="Q865" i="5" s="1"/>
  <c r="R866" i="5"/>
  <c r="Q866" i="5" s="1"/>
  <c r="R867" i="5"/>
  <c r="Q867" i="5" s="1"/>
  <c r="R868" i="5"/>
  <c r="Q868" i="5" s="1"/>
  <c r="R869" i="5"/>
  <c r="Q869" i="5" s="1"/>
  <c r="R870" i="5"/>
  <c r="Q870" i="5" s="1"/>
  <c r="R871" i="5"/>
  <c r="Q871" i="5" s="1"/>
  <c r="R872" i="5"/>
  <c r="Q872" i="5" s="1"/>
  <c r="R873" i="5"/>
  <c r="Q873" i="5" s="1"/>
  <c r="R874" i="5"/>
  <c r="Q874" i="5" s="1"/>
  <c r="R875" i="5"/>
  <c r="Q875" i="5" s="1"/>
  <c r="R876" i="5"/>
  <c r="Q876" i="5" s="1"/>
  <c r="R877" i="5"/>
  <c r="Q877" i="5" s="1"/>
  <c r="R878" i="5"/>
  <c r="Q878" i="5" s="1"/>
  <c r="R879" i="5"/>
  <c r="Q879" i="5" s="1"/>
  <c r="R880" i="5"/>
  <c r="Q880" i="5" s="1"/>
  <c r="R881" i="5"/>
  <c r="Q881" i="5" s="1"/>
  <c r="R882" i="5"/>
  <c r="Q882" i="5" s="1"/>
  <c r="R883" i="5"/>
  <c r="Q883" i="5" s="1"/>
  <c r="R884" i="5"/>
  <c r="Q884" i="5" s="1"/>
  <c r="R885" i="5"/>
  <c r="Q885" i="5" s="1"/>
  <c r="R886" i="5"/>
  <c r="Q886" i="5" s="1"/>
  <c r="R887" i="5"/>
  <c r="Q887" i="5" s="1"/>
  <c r="R888" i="5"/>
  <c r="Q888" i="5" s="1"/>
  <c r="R889" i="5"/>
  <c r="Q889" i="5" s="1"/>
  <c r="R890" i="5"/>
  <c r="Q890" i="5" s="1"/>
  <c r="R891" i="5"/>
  <c r="Q891" i="5" s="1"/>
  <c r="R892" i="5"/>
  <c r="Q892" i="5" s="1"/>
  <c r="R893" i="5"/>
  <c r="Q893" i="5" s="1"/>
  <c r="R894" i="5"/>
  <c r="Q894" i="5" s="1"/>
  <c r="R895" i="5"/>
  <c r="Q895" i="5" s="1"/>
  <c r="R896" i="5"/>
  <c r="Q896" i="5" s="1"/>
  <c r="R897" i="5"/>
  <c r="Q897" i="5" s="1"/>
  <c r="R898" i="5"/>
  <c r="Q898" i="5" s="1"/>
  <c r="R899" i="5"/>
  <c r="Q899" i="5" s="1"/>
  <c r="R900" i="5"/>
  <c r="Q900" i="5" s="1"/>
  <c r="R901" i="5"/>
  <c r="Q901" i="5" s="1"/>
  <c r="R902" i="5"/>
  <c r="Q902" i="5" s="1"/>
  <c r="R903" i="5"/>
  <c r="Q903" i="5" s="1"/>
  <c r="R904" i="5"/>
  <c r="Q904" i="5" s="1"/>
  <c r="R905" i="5"/>
  <c r="Q905" i="5" s="1"/>
  <c r="R907" i="5"/>
  <c r="R908" i="5"/>
  <c r="Q908" i="5" s="1"/>
  <c r="R909" i="5"/>
  <c r="Q909" i="5" s="1"/>
  <c r="R910" i="5"/>
  <c r="Q910" i="5" s="1"/>
  <c r="R911" i="5"/>
  <c r="Q911" i="5" s="1"/>
  <c r="R912" i="5"/>
  <c r="Q912" i="5" s="1"/>
  <c r="R913" i="5"/>
  <c r="Q913" i="5" s="1"/>
  <c r="R914" i="5"/>
  <c r="Q914" i="5" s="1"/>
  <c r="R915" i="5"/>
  <c r="Q915" i="5" s="1"/>
  <c r="R916" i="5"/>
  <c r="Q916" i="5" s="1"/>
  <c r="R917" i="5"/>
  <c r="Q917" i="5" s="1"/>
  <c r="R918" i="5"/>
  <c r="Q918" i="5" s="1"/>
  <c r="R919" i="5"/>
  <c r="Q919" i="5" s="1"/>
  <c r="R920" i="5"/>
  <c r="Q920" i="5" s="1"/>
  <c r="R921" i="5"/>
  <c r="Q921" i="5" s="1"/>
  <c r="R922" i="5"/>
  <c r="Q922" i="5" s="1"/>
  <c r="R923" i="5"/>
  <c r="Q923" i="5" s="1"/>
  <c r="R924" i="5"/>
  <c r="Q924" i="5" s="1"/>
  <c r="R925" i="5"/>
  <c r="Q925" i="5" s="1"/>
  <c r="R926" i="5"/>
  <c r="Q926" i="5" s="1"/>
  <c r="R927" i="5"/>
  <c r="Q927" i="5" s="1"/>
  <c r="R928" i="5"/>
  <c r="Q928" i="5" s="1"/>
  <c r="R929" i="5"/>
  <c r="Q929" i="5" s="1"/>
  <c r="R930" i="5"/>
  <c r="Q930" i="5" s="1"/>
  <c r="R931" i="5"/>
  <c r="Q931" i="5" s="1"/>
  <c r="R932" i="5"/>
  <c r="Q932" i="5" s="1"/>
  <c r="R933" i="5"/>
  <c r="Q933" i="5" s="1"/>
  <c r="R934" i="5"/>
  <c r="Q934" i="5" s="1"/>
  <c r="R935" i="5"/>
  <c r="Q935" i="5" s="1"/>
  <c r="R936" i="5"/>
  <c r="Q936" i="5" s="1"/>
  <c r="R937" i="5"/>
  <c r="Q937" i="5" s="1"/>
  <c r="R938" i="5"/>
  <c r="Q938" i="5" s="1"/>
  <c r="R939" i="5"/>
  <c r="Q939" i="5" s="1"/>
  <c r="R940" i="5"/>
  <c r="Q940" i="5" s="1"/>
  <c r="R941" i="5"/>
  <c r="Q941" i="5" s="1"/>
  <c r="R942" i="5"/>
  <c r="Q942" i="5" s="1"/>
  <c r="R943" i="5"/>
  <c r="Q943" i="5" s="1"/>
  <c r="R944" i="5"/>
  <c r="Q944" i="5" s="1"/>
  <c r="R945" i="5"/>
  <c r="Q945" i="5" s="1"/>
  <c r="R946" i="5"/>
  <c r="Q946" i="5" s="1"/>
  <c r="R947" i="5"/>
  <c r="Q947" i="5" s="1"/>
  <c r="R948" i="5"/>
  <c r="Q948" i="5" s="1"/>
  <c r="R949" i="5"/>
  <c r="Q949" i="5" s="1"/>
  <c r="R950" i="5"/>
  <c r="Q950" i="5" s="1"/>
  <c r="R951" i="5"/>
  <c r="Q951" i="5" s="1"/>
  <c r="R952" i="5"/>
  <c r="Q952" i="5" s="1"/>
  <c r="R953" i="5"/>
  <c r="Q953" i="5" s="1"/>
  <c r="R954" i="5"/>
  <c r="Q954" i="5" s="1"/>
  <c r="R955" i="5"/>
  <c r="Q955" i="5" s="1"/>
  <c r="R956" i="5"/>
  <c r="Q956" i="5" s="1"/>
  <c r="R957" i="5"/>
  <c r="Q957" i="5" s="1"/>
  <c r="R958" i="5"/>
  <c r="Q958" i="5" s="1"/>
  <c r="R959" i="5"/>
  <c r="Q959" i="5" s="1"/>
  <c r="R960" i="5"/>
  <c r="Q960" i="5" s="1"/>
  <c r="R961" i="5"/>
  <c r="Q961" i="5" s="1"/>
  <c r="R962" i="5"/>
  <c r="Q962" i="5" s="1"/>
  <c r="R963" i="5"/>
  <c r="Q963" i="5" s="1"/>
  <c r="R964" i="5"/>
  <c r="Q964" i="5" s="1"/>
  <c r="R965" i="5"/>
  <c r="Q965" i="5" s="1"/>
  <c r="R966" i="5"/>
  <c r="Q966" i="5" s="1"/>
  <c r="R967" i="5"/>
  <c r="Q967" i="5" s="1"/>
  <c r="R968" i="5"/>
  <c r="Q968" i="5" s="1"/>
  <c r="R969" i="5"/>
  <c r="Q969" i="5" s="1"/>
  <c r="R970" i="5"/>
  <c r="Q970" i="5" s="1"/>
  <c r="R971" i="5"/>
  <c r="Q971" i="5" s="1"/>
  <c r="R972" i="5"/>
  <c r="Q972" i="5" s="1"/>
  <c r="R973" i="5"/>
  <c r="Q973" i="5" s="1"/>
  <c r="R974" i="5"/>
  <c r="Q974" i="5" s="1"/>
  <c r="R975" i="5"/>
  <c r="Q975" i="5" s="1"/>
  <c r="R976" i="5"/>
  <c r="Q976" i="5" s="1"/>
  <c r="R977" i="5"/>
  <c r="Q977" i="5" s="1"/>
  <c r="R978" i="5"/>
  <c r="Q978" i="5" s="1"/>
  <c r="R979" i="5"/>
  <c r="Q979" i="5" s="1"/>
  <c r="R980" i="5"/>
  <c r="Q980" i="5" s="1"/>
  <c r="R981" i="5"/>
  <c r="Q981" i="5" s="1"/>
  <c r="R982" i="5"/>
  <c r="Q982" i="5" s="1"/>
  <c r="R983" i="5"/>
  <c r="Q983" i="5" s="1"/>
  <c r="R984" i="5"/>
  <c r="Q984" i="5" s="1"/>
  <c r="R985" i="5"/>
  <c r="Q985" i="5" s="1"/>
  <c r="R986" i="5"/>
  <c r="Q986" i="5" s="1"/>
  <c r="R987" i="5"/>
  <c r="Q987" i="5" s="1"/>
  <c r="R988" i="5"/>
  <c r="Q988" i="5" s="1"/>
  <c r="R989" i="5"/>
  <c r="Q989" i="5" s="1"/>
  <c r="R990" i="5"/>
  <c r="Q990" i="5" s="1"/>
  <c r="R991" i="5"/>
  <c r="Q991" i="5" s="1"/>
  <c r="R992" i="5"/>
  <c r="Q992" i="5" s="1"/>
  <c r="R993" i="5"/>
  <c r="Q993" i="5" s="1"/>
  <c r="R994" i="5"/>
  <c r="Q994" i="5" s="1"/>
  <c r="R995" i="5"/>
  <c r="Q995" i="5" s="1"/>
  <c r="R996" i="5"/>
  <c r="Q996" i="5" s="1"/>
  <c r="R997" i="5"/>
  <c r="Q997" i="5" s="1"/>
  <c r="R998" i="5"/>
  <c r="Q998" i="5" s="1"/>
  <c r="R999" i="5"/>
  <c r="Q999" i="5" s="1"/>
  <c r="R1000" i="5"/>
  <c r="Q1000" i="5" s="1"/>
  <c r="R1001" i="5"/>
  <c r="Q1001" i="5" s="1"/>
  <c r="R1002" i="5"/>
  <c r="Q1002" i="5" s="1"/>
  <c r="R1003" i="5"/>
  <c r="Q1003" i="5" s="1"/>
  <c r="R1004" i="5"/>
  <c r="Q1004" i="5" s="1"/>
  <c r="R1005" i="5"/>
  <c r="Q1005" i="5" s="1"/>
  <c r="R1006" i="5"/>
  <c r="Q1006" i="5" s="1"/>
  <c r="R1008" i="5"/>
  <c r="R1010" i="5"/>
  <c r="R1012" i="5"/>
  <c r="R1013" i="5"/>
  <c r="Q1013" i="5" s="1"/>
  <c r="R1014" i="5"/>
  <c r="Q1014" i="5" s="1"/>
  <c r="R1015" i="5"/>
  <c r="Q1015" i="5" s="1"/>
  <c r="R1016" i="5"/>
  <c r="Q1016" i="5" s="1"/>
  <c r="R1017" i="5"/>
  <c r="Q1017" i="5" s="1"/>
  <c r="R1019" i="5"/>
  <c r="R1020" i="5"/>
  <c r="Q1020" i="5" s="1"/>
  <c r="R1021" i="5"/>
  <c r="Q1021" i="5" s="1"/>
  <c r="R1022" i="5"/>
  <c r="Q1022" i="5" s="1"/>
  <c r="R1023" i="5"/>
  <c r="Q1023" i="5" s="1"/>
  <c r="R1025" i="5"/>
  <c r="R1026" i="5"/>
  <c r="Q1026" i="5" s="1"/>
  <c r="R1027" i="5"/>
  <c r="Q1027" i="5" s="1"/>
  <c r="R1028" i="5"/>
  <c r="Q1028" i="5" s="1"/>
  <c r="R1029" i="5"/>
  <c r="Q1029" i="5" s="1"/>
  <c r="R1031" i="5"/>
  <c r="R1032" i="5"/>
  <c r="Q1032" i="5" s="1"/>
  <c r="R1033" i="5"/>
  <c r="Q1033" i="5" s="1"/>
  <c r="R1034" i="5"/>
  <c r="Q1034" i="5" s="1"/>
  <c r="R1035" i="5"/>
  <c r="Q1035" i="5" s="1"/>
  <c r="R1036" i="5"/>
  <c r="Q1036" i="5" s="1"/>
  <c r="R1037" i="5"/>
  <c r="Q1037" i="5" s="1"/>
  <c r="R1038" i="5"/>
  <c r="Q1038" i="5" s="1"/>
  <c r="R1039" i="5"/>
  <c r="Q1039" i="5" s="1"/>
  <c r="R1040" i="5"/>
  <c r="Q1040" i="5" s="1"/>
  <c r="R1041" i="5"/>
  <c r="Q1041" i="5" s="1"/>
  <c r="R1042" i="5"/>
  <c r="Q1042" i="5" s="1"/>
  <c r="R1044" i="5"/>
  <c r="R1045" i="5"/>
  <c r="Q1045" i="5" s="1"/>
  <c r="R1046" i="5"/>
  <c r="Q1046" i="5" s="1"/>
  <c r="R1047" i="5"/>
  <c r="Q1047" i="5" s="1"/>
  <c r="R1048" i="5"/>
  <c r="Q1048" i="5" s="1"/>
  <c r="R1049" i="5"/>
  <c r="Q1049" i="5" s="1"/>
  <c r="R1050" i="5"/>
  <c r="Q1050" i="5" s="1"/>
  <c r="R1051" i="5"/>
  <c r="Q1051" i="5" s="1"/>
  <c r="R1052" i="5"/>
  <c r="Q1052" i="5" s="1"/>
  <c r="R1054" i="5"/>
  <c r="R1055" i="5"/>
  <c r="Q1055" i="5" s="1"/>
  <c r="R1056" i="5"/>
  <c r="Q1056" i="5" s="1"/>
  <c r="R1057" i="5"/>
  <c r="Q1057" i="5" s="1"/>
  <c r="R1058" i="5"/>
  <c r="Q1058" i="5" s="1"/>
  <c r="R1059" i="5"/>
  <c r="Q1059" i="5" s="1"/>
  <c r="R1060" i="5"/>
  <c r="Q1060" i="5" s="1"/>
  <c r="R1062" i="5"/>
  <c r="R1063" i="5"/>
  <c r="Q1063" i="5" s="1"/>
  <c r="R1064" i="5"/>
  <c r="Q1064" i="5" s="1"/>
  <c r="R1065" i="5"/>
  <c r="Q1065" i="5" s="1"/>
  <c r="R1066" i="5"/>
  <c r="Q1066" i="5" s="1"/>
  <c r="R1067" i="5"/>
  <c r="Q1067" i="5" s="1"/>
  <c r="R1068" i="5"/>
  <c r="Q1068" i="5" s="1"/>
  <c r="R1069" i="5"/>
  <c r="Q1069" i="5" s="1"/>
  <c r="R1071" i="5"/>
  <c r="R1072" i="5"/>
  <c r="Q1072" i="5" s="1"/>
  <c r="R1073" i="5"/>
  <c r="Q1073" i="5" s="1"/>
  <c r="R1075" i="5"/>
  <c r="R1076" i="5"/>
  <c r="Q1076" i="5" s="1"/>
  <c r="R1077" i="5"/>
  <c r="Q1077" i="5" s="1"/>
  <c r="R1078" i="5"/>
  <c r="Q1078" i="5" s="1"/>
  <c r="R1079" i="5"/>
  <c r="Q1079" i="5" s="1"/>
  <c r="R1080" i="5"/>
  <c r="Q1080" i="5" s="1"/>
  <c r="R1081" i="5"/>
  <c r="Q1081" i="5" s="1"/>
  <c r="R1082" i="5"/>
  <c r="Q1082" i="5" s="1"/>
  <c r="R1083" i="5"/>
  <c r="Q1083" i="5" s="1"/>
  <c r="R1084" i="5"/>
  <c r="Q1084" i="5" s="1"/>
  <c r="R1085" i="5"/>
  <c r="Q1085" i="5" s="1"/>
  <c r="R1086" i="5"/>
  <c r="Q1086" i="5" s="1"/>
  <c r="R1087" i="5"/>
  <c r="Q1087" i="5" s="1"/>
  <c r="R1088" i="5"/>
  <c r="Q1088" i="5" s="1"/>
  <c r="R1089" i="5"/>
  <c r="Q1089" i="5" s="1"/>
  <c r="R1090" i="5"/>
  <c r="Q1090" i="5" s="1"/>
  <c r="R1091" i="5"/>
  <c r="Q1091" i="5" s="1"/>
  <c r="R1092" i="5"/>
  <c r="Q1092" i="5" s="1"/>
  <c r="R1093" i="5"/>
  <c r="Q1093" i="5" s="1"/>
  <c r="R1094" i="5"/>
  <c r="Q1094" i="5" s="1"/>
  <c r="R1095" i="5"/>
  <c r="Q1095" i="5" s="1"/>
  <c r="R1096" i="5"/>
  <c r="Q1096" i="5" s="1"/>
  <c r="R1097" i="5"/>
  <c r="Q1097" i="5" s="1"/>
  <c r="R1098" i="5"/>
  <c r="Q1098" i="5" s="1"/>
  <c r="R1099" i="5"/>
  <c r="Q1099" i="5" s="1"/>
  <c r="R1100" i="5"/>
  <c r="Q1100" i="5" s="1"/>
  <c r="R1101" i="5"/>
  <c r="Q1101" i="5" s="1"/>
  <c r="R1102" i="5"/>
  <c r="Q1102" i="5" s="1"/>
  <c r="R1103" i="5"/>
  <c r="Q1103" i="5" s="1"/>
  <c r="R1104" i="5"/>
  <c r="Q1104" i="5" s="1"/>
  <c r="R1105" i="5"/>
  <c r="Q1105" i="5" s="1"/>
  <c r="R1106" i="5"/>
  <c r="Q1106" i="5" s="1"/>
  <c r="R1107" i="5"/>
  <c r="Q1107" i="5" s="1"/>
  <c r="R1108" i="5"/>
  <c r="Q1108" i="5" s="1"/>
  <c r="R1109" i="5"/>
  <c r="Q1109" i="5" s="1"/>
  <c r="R1110" i="5"/>
  <c r="Q1110" i="5" s="1"/>
  <c r="R1111" i="5"/>
  <c r="Q1111" i="5" s="1"/>
  <c r="R1112" i="5"/>
  <c r="Q1112" i="5" s="1"/>
  <c r="R1113" i="5"/>
  <c r="Q1113" i="5" s="1"/>
  <c r="R1114" i="5"/>
  <c r="Q1114" i="5" s="1"/>
  <c r="R1115" i="5"/>
  <c r="Q1115" i="5" s="1"/>
  <c r="R1116" i="5"/>
  <c r="Q1116" i="5" s="1"/>
  <c r="R1117" i="5"/>
  <c r="Q1117" i="5" s="1"/>
  <c r="R1118" i="5"/>
  <c r="Q1118" i="5" s="1"/>
  <c r="R1119" i="5"/>
  <c r="Q1119" i="5" s="1"/>
  <c r="R1120" i="5"/>
  <c r="Q1120" i="5" s="1"/>
  <c r="R1121" i="5"/>
  <c r="Q1121" i="5" s="1"/>
  <c r="R1122" i="5"/>
  <c r="Q1122" i="5" s="1"/>
  <c r="R1123" i="5"/>
  <c r="Q1123" i="5" s="1"/>
  <c r="R1124" i="5"/>
  <c r="Q1124" i="5" s="1"/>
  <c r="R1125" i="5"/>
  <c r="Q1125" i="5" s="1"/>
  <c r="R1126" i="5"/>
  <c r="Q1126" i="5" s="1"/>
  <c r="R1127" i="5"/>
  <c r="Q1127" i="5" s="1"/>
  <c r="R1128" i="5"/>
  <c r="Q1128" i="5" s="1"/>
  <c r="R1129" i="5"/>
  <c r="Q1129" i="5" s="1"/>
  <c r="R1130" i="5"/>
  <c r="Q1130" i="5" s="1"/>
  <c r="R1131" i="5"/>
  <c r="Q1131" i="5" s="1"/>
  <c r="R1132" i="5"/>
  <c r="Q1132" i="5" s="1"/>
  <c r="R1133" i="5"/>
  <c r="Q1133" i="5" s="1"/>
  <c r="R1134" i="5"/>
  <c r="Q1134" i="5" s="1"/>
  <c r="R1135" i="5"/>
  <c r="Q1135" i="5" s="1"/>
  <c r="R1136" i="5"/>
  <c r="Q1136" i="5" s="1"/>
  <c r="R1137" i="5"/>
  <c r="Q1137" i="5" s="1"/>
  <c r="R1138" i="5"/>
  <c r="Q1138" i="5" s="1"/>
  <c r="R1139" i="5"/>
  <c r="Q1139" i="5" s="1"/>
  <c r="R1140" i="5"/>
  <c r="Q1140" i="5" s="1"/>
  <c r="R1141" i="5"/>
  <c r="Q1141" i="5" s="1"/>
  <c r="R1142" i="5"/>
  <c r="Q1142" i="5" s="1"/>
  <c r="R1143" i="5"/>
  <c r="Q1143" i="5" s="1"/>
  <c r="R1144" i="5"/>
  <c r="Q1144" i="5" s="1"/>
  <c r="R1145" i="5"/>
  <c r="Q1145" i="5" s="1"/>
  <c r="R1146" i="5"/>
  <c r="Q1146" i="5" s="1"/>
  <c r="R1147" i="5"/>
  <c r="Q1147" i="5" s="1"/>
  <c r="R1149" i="5"/>
  <c r="R1150" i="5"/>
  <c r="Q1150" i="5" s="1"/>
  <c r="R1151" i="5"/>
  <c r="Q1151" i="5" s="1"/>
  <c r="R1152" i="5"/>
  <c r="Q1152" i="5" s="1"/>
  <c r="R1153" i="5"/>
  <c r="Q1153" i="5" s="1"/>
  <c r="R1154" i="5"/>
  <c r="Q1154" i="5" s="1"/>
  <c r="R1155" i="5"/>
  <c r="Q1155" i="5" s="1"/>
  <c r="R1156" i="5"/>
  <c r="Q1156" i="5" s="1"/>
  <c r="R1157" i="5"/>
  <c r="Q1157" i="5" s="1"/>
  <c r="R1158" i="5"/>
  <c r="Q1158" i="5" s="1"/>
  <c r="R1159" i="5"/>
  <c r="Q1159" i="5" s="1"/>
  <c r="R1160" i="5"/>
  <c r="Q1160" i="5" s="1"/>
  <c r="R1161" i="5"/>
  <c r="Q1161" i="5" s="1"/>
  <c r="R1162" i="5"/>
  <c r="Q1162" i="5" s="1"/>
  <c r="R1163" i="5"/>
  <c r="Q1163" i="5" s="1"/>
  <c r="R1164" i="5"/>
  <c r="Q1164" i="5" s="1"/>
  <c r="R1165" i="5"/>
  <c r="Q1165" i="5" s="1"/>
  <c r="R1166" i="5"/>
  <c r="Q1166" i="5" s="1"/>
  <c r="R1167" i="5"/>
  <c r="Q1167" i="5" s="1"/>
  <c r="R1168" i="5"/>
  <c r="Q1168" i="5" s="1"/>
  <c r="R1169" i="5"/>
  <c r="Q1169" i="5" s="1"/>
  <c r="R1170" i="5"/>
  <c r="Q1170" i="5" s="1"/>
  <c r="R1172" i="5"/>
  <c r="R1173" i="5"/>
  <c r="Q1173" i="5" s="1"/>
  <c r="R1174" i="5"/>
  <c r="Q1174" i="5" s="1"/>
  <c r="R1175" i="5"/>
  <c r="Q1175" i="5" s="1"/>
  <c r="R1176" i="5"/>
  <c r="Q1176" i="5" s="1"/>
  <c r="R1177" i="5"/>
  <c r="Q1177" i="5" s="1"/>
  <c r="R1178" i="5"/>
  <c r="Q1178" i="5" s="1"/>
  <c r="R1179" i="5"/>
  <c r="Q1179" i="5" s="1"/>
  <c r="R1180" i="5"/>
  <c r="Q1180" i="5" s="1"/>
  <c r="R1181" i="5"/>
  <c r="Q1181" i="5" s="1"/>
  <c r="R1182" i="5"/>
  <c r="Q1182" i="5" s="1"/>
  <c r="R1183" i="5"/>
  <c r="Q1183" i="5" s="1"/>
  <c r="R1184" i="5"/>
  <c r="Q1184" i="5" s="1"/>
  <c r="R1185" i="5"/>
  <c r="Q1185" i="5" s="1"/>
  <c r="R1186" i="5"/>
  <c r="Q1186" i="5" s="1"/>
  <c r="R1187" i="5"/>
  <c r="Q1187" i="5" s="1"/>
  <c r="R1188" i="5"/>
  <c r="Q1188" i="5" s="1"/>
  <c r="R1189" i="5"/>
  <c r="Q1189" i="5" s="1"/>
  <c r="R1190" i="5"/>
  <c r="Q1190" i="5" s="1"/>
  <c r="R1191" i="5"/>
  <c r="Q1191" i="5" s="1"/>
  <c r="R1193" i="5"/>
  <c r="R1194" i="5"/>
  <c r="Q1194" i="5" s="1"/>
  <c r="R1195" i="5"/>
  <c r="Q1195" i="5" s="1"/>
  <c r="R1196" i="5"/>
  <c r="Q1196" i="5" s="1"/>
  <c r="R1197" i="5"/>
  <c r="Q1197" i="5" s="1"/>
  <c r="R1198" i="5"/>
  <c r="Q1198" i="5" s="1"/>
  <c r="R1199" i="5"/>
  <c r="Q1199" i="5" s="1"/>
  <c r="R1200" i="5"/>
  <c r="Q1200" i="5" s="1"/>
  <c r="R1201" i="5"/>
  <c r="Q1201" i="5" s="1"/>
  <c r="R1202" i="5"/>
  <c r="Q1202" i="5" s="1"/>
  <c r="R1203" i="5"/>
  <c r="Q1203" i="5" s="1"/>
  <c r="R1204" i="5"/>
  <c r="Q1204" i="5" s="1"/>
  <c r="R1205" i="5"/>
  <c r="Q1205" i="5" s="1"/>
  <c r="R1206" i="5"/>
  <c r="Q1206" i="5" s="1"/>
  <c r="R1207" i="5"/>
  <c r="Q1207" i="5" s="1"/>
  <c r="R1208" i="5"/>
  <c r="Q1208" i="5" s="1"/>
  <c r="R1209" i="5"/>
  <c r="Q1209" i="5" s="1"/>
  <c r="R1210" i="5"/>
  <c r="Q1210" i="5" s="1"/>
  <c r="R1211" i="5"/>
  <c r="Q1211" i="5" s="1"/>
  <c r="R1212" i="5"/>
  <c r="Q1212" i="5" s="1"/>
  <c r="R1213" i="5"/>
  <c r="Q1213" i="5" s="1"/>
  <c r="R1215" i="5"/>
  <c r="R1216" i="5"/>
  <c r="Q1216" i="5" s="1"/>
  <c r="R1218" i="5"/>
  <c r="R1219" i="5"/>
  <c r="Q1219" i="5" s="1"/>
  <c r="R1220" i="5"/>
  <c r="Q1220" i="5" s="1"/>
  <c r="R1221" i="5"/>
  <c r="Q1221" i="5" s="1"/>
  <c r="R1222" i="5"/>
  <c r="Q1222" i="5" s="1"/>
  <c r="R1223" i="5"/>
  <c r="Q1223" i="5" s="1"/>
  <c r="R1224" i="5"/>
  <c r="Q1224" i="5" s="1"/>
  <c r="R1226" i="5"/>
  <c r="R1227" i="5"/>
  <c r="Q1227" i="5" s="1"/>
  <c r="R1228" i="5"/>
  <c r="Q1228" i="5" s="1"/>
  <c r="R1229" i="5"/>
  <c r="Q1229" i="5" s="1"/>
  <c r="R1230" i="5"/>
  <c r="Q1230" i="5" s="1"/>
  <c r="R1231" i="5"/>
  <c r="Q1231" i="5" s="1"/>
  <c r="R1232" i="5"/>
  <c r="Q1232" i="5" s="1"/>
  <c r="R1233" i="5"/>
  <c r="Q1233" i="5" s="1"/>
  <c r="R1234" i="5"/>
  <c r="Q1234" i="5" s="1"/>
  <c r="R1235" i="5"/>
  <c r="Q1235" i="5" s="1"/>
  <c r="R1236" i="5"/>
  <c r="Q1236" i="5" s="1"/>
  <c r="R1237" i="5"/>
  <c r="Q1237" i="5" s="1"/>
  <c r="R1238" i="5"/>
  <c r="Q1238" i="5" s="1"/>
  <c r="R1239" i="5"/>
  <c r="Q1239" i="5" s="1"/>
  <c r="R1240" i="5"/>
  <c r="Q1240" i="5" s="1"/>
  <c r="R1241" i="5"/>
  <c r="Q1241" i="5" s="1"/>
  <c r="R1242" i="5"/>
  <c r="Q1242" i="5" s="1"/>
  <c r="R1243" i="5"/>
  <c r="Q1243" i="5" s="1"/>
  <c r="R1244" i="5"/>
  <c r="Q1244" i="5" s="1"/>
  <c r="R1245" i="5"/>
  <c r="Q1245" i="5" s="1"/>
  <c r="R1246" i="5"/>
  <c r="Q1246" i="5" s="1"/>
  <c r="R1247" i="5"/>
  <c r="Q1247" i="5" s="1"/>
  <c r="R1248" i="5"/>
  <c r="Q1248" i="5" s="1"/>
  <c r="R1249" i="5"/>
  <c r="Q1249" i="5" s="1"/>
  <c r="R1250" i="5"/>
  <c r="Q1250" i="5" s="1"/>
  <c r="R1251" i="5"/>
  <c r="Q1251" i="5" s="1"/>
  <c r="R1252" i="5"/>
  <c r="Q1252" i="5" s="1"/>
  <c r="R1253" i="5"/>
  <c r="Q1253" i="5" s="1"/>
  <c r="R1254" i="5"/>
  <c r="Q1254" i="5" s="1"/>
  <c r="R1255" i="5"/>
  <c r="Q1255" i="5" s="1"/>
  <c r="R1256" i="5"/>
  <c r="Q1256" i="5" s="1"/>
  <c r="R1257" i="5"/>
  <c r="Q1257" i="5" s="1"/>
  <c r="R1258" i="5"/>
  <c r="Q1258" i="5" s="1"/>
  <c r="R1259" i="5"/>
  <c r="Q1259" i="5" s="1"/>
  <c r="R1260" i="5"/>
  <c r="Q1260" i="5" s="1"/>
  <c r="R1261" i="5"/>
  <c r="Q1261" i="5" s="1"/>
  <c r="R1262" i="5"/>
  <c r="Q1262" i="5" s="1"/>
  <c r="R1263" i="5"/>
  <c r="Q1263" i="5" s="1"/>
  <c r="R1264" i="5"/>
  <c r="Q1264" i="5" s="1"/>
  <c r="R1265" i="5"/>
  <c r="Q1265" i="5" s="1"/>
  <c r="R1266" i="5"/>
  <c r="Q1266" i="5" s="1"/>
  <c r="R1267" i="5"/>
  <c r="Q1267" i="5" s="1"/>
  <c r="R1268" i="5"/>
  <c r="Q1268" i="5" s="1"/>
  <c r="R1269" i="5"/>
  <c r="Q1269" i="5" s="1"/>
  <c r="R1270" i="5"/>
  <c r="Q1270" i="5" s="1"/>
  <c r="R1271" i="5"/>
  <c r="Q1271" i="5" s="1"/>
  <c r="R1272" i="5"/>
  <c r="Q1272" i="5" s="1"/>
  <c r="R1273" i="5"/>
  <c r="Q1273" i="5" s="1"/>
  <c r="R1274" i="5"/>
  <c r="Q1274" i="5" s="1"/>
  <c r="R1275" i="5"/>
  <c r="Q1275" i="5" s="1"/>
  <c r="R1276" i="5"/>
  <c r="Q1276" i="5" s="1"/>
  <c r="R1277" i="5"/>
  <c r="Q1277" i="5" s="1"/>
  <c r="R1278" i="5"/>
  <c r="Q1278" i="5" s="1"/>
  <c r="R1279" i="5"/>
  <c r="Q1279" i="5" s="1"/>
  <c r="R1280" i="5"/>
  <c r="Q1280" i="5" s="1"/>
  <c r="R1282" i="5"/>
  <c r="R1283" i="5"/>
  <c r="Q1283" i="5" s="1"/>
  <c r="R1284" i="5"/>
  <c r="Q1284" i="5" s="1"/>
  <c r="R1285" i="5"/>
  <c r="Q1285" i="5" s="1"/>
  <c r="R1286" i="5"/>
  <c r="Q1286" i="5" s="1"/>
  <c r="R1287" i="5"/>
  <c r="Q1287" i="5" s="1"/>
  <c r="R1288" i="5"/>
  <c r="Q1288" i="5" s="1"/>
  <c r="R1289" i="5"/>
  <c r="Q1289" i="5" s="1"/>
  <c r="R1290" i="5"/>
  <c r="Q1290" i="5" s="1"/>
  <c r="R1291" i="5"/>
  <c r="Q1291" i="5" s="1"/>
  <c r="R1292" i="5"/>
  <c r="Q1292" i="5" s="1"/>
  <c r="R1293" i="5"/>
  <c r="Q1293" i="5" s="1"/>
  <c r="R1294" i="5"/>
  <c r="Q1294" i="5" s="1"/>
  <c r="R1295" i="5"/>
  <c r="Q1295" i="5" s="1"/>
  <c r="R1296" i="5"/>
  <c r="Q1296" i="5" s="1"/>
  <c r="R1297" i="5"/>
  <c r="Q1297" i="5" s="1"/>
  <c r="R1298" i="5"/>
  <c r="Q1298" i="5" s="1"/>
  <c r="R1299" i="5"/>
  <c r="Q1299" i="5" s="1"/>
  <c r="R1300" i="5"/>
  <c r="Q1300" i="5" s="1"/>
  <c r="R1301" i="5"/>
  <c r="Q1301" i="5" s="1"/>
  <c r="R1302" i="5"/>
  <c r="Q1302" i="5" s="1"/>
  <c r="R1303" i="5"/>
  <c r="Q1303" i="5" s="1"/>
  <c r="R1304" i="5"/>
  <c r="Q1304" i="5" s="1"/>
  <c r="R1305" i="5"/>
  <c r="Q1305" i="5" s="1"/>
  <c r="R1306" i="5"/>
  <c r="Q1306" i="5" s="1"/>
  <c r="R1307" i="5"/>
  <c r="Q1307" i="5" s="1"/>
  <c r="R1308" i="5"/>
  <c r="Q1308" i="5" s="1"/>
  <c r="R1309" i="5"/>
  <c r="Q1309" i="5" s="1"/>
  <c r="R1310" i="5"/>
  <c r="Q1310" i="5" s="1"/>
  <c r="R1311" i="5"/>
  <c r="Q1311" i="5" s="1"/>
  <c r="R1312" i="5"/>
  <c r="Q1312" i="5" s="1"/>
  <c r="R1313" i="5"/>
  <c r="Q1313" i="5" s="1"/>
  <c r="R1314" i="5"/>
  <c r="Q1314" i="5" s="1"/>
  <c r="R1315" i="5"/>
  <c r="Q1315" i="5" s="1"/>
  <c r="R1316" i="5"/>
  <c r="Q1316" i="5" s="1"/>
  <c r="R1317" i="5"/>
  <c r="Q1317" i="5" s="1"/>
  <c r="R1318" i="5"/>
  <c r="Q1318" i="5" s="1"/>
  <c r="R1319" i="5"/>
  <c r="Q1319" i="5" s="1"/>
  <c r="R1320" i="5"/>
  <c r="Q1320" i="5" s="1"/>
  <c r="R1321" i="5"/>
  <c r="Q1321" i="5" s="1"/>
  <c r="R1322" i="5"/>
  <c r="Q1322" i="5" s="1"/>
  <c r="R1323" i="5"/>
  <c r="Q1323" i="5" s="1"/>
  <c r="R1324" i="5"/>
  <c r="Q1324" i="5" s="1"/>
  <c r="R1325" i="5"/>
  <c r="Q1325" i="5" s="1"/>
  <c r="R1326" i="5"/>
  <c r="Q1326" i="5" s="1"/>
  <c r="R1328" i="5"/>
  <c r="R1329" i="5"/>
  <c r="Q1329" i="5" s="1"/>
  <c r="R1330" i="5"/>
  <c r="Q1330" i="5" s="1"/>
  <c r="R1331" i="5"/>
  <c r="Q1331" i="5" s="1"/>
  <c r="R1332" i="5"/>
  <c r="Q1332" i="5" s="1"/>
  <c r="R1334" i="5"/>
  <c r="R1335" i="5"/>
  <c r="Q1335" i="5" s="1"/>
  <c r="R1337" i="5"/>
  <c r="R1338" i="5"/>
  <c r="Q1338" i="5" s="1"/>
  <c r="R1339" i="5"/>
  <c r="Q1339" i="5" s="1"/>
  <c r="R1341" i="5"/>
  <c r="R1342" i="5"/>
  <c r="Q1342" i="5" s="1"/>
  <c r="R1343" i="5"/>
  <c r="Q1343" i="5" s="1"/>
  <c r="R1344" i="5"/>
  <c r="Q1344" i="5" s="1"/>
  <c r="R1345" i="5"/>
  <c r="Q1345" i="5" s="1"/>
  <c r="R1347" i="5"/>
  <c r="R1348" i="5"/>
  <c r="Q1348" i="5" s="1"/>
  <c r="R1349" i="5"/>
  <c r="Q1349" i="5" s="1"/>
  <c r="R1350" i="5"/>
  <c r="Q1350" i="5" s="1"/>
  <c r="R1351" i="5"/>
  <c r="Q1351" i="5" s="1"/>
  <c r="R1353" i="5"/>
  <c r="R1354" i="5"/>
  <c r="Q1354" i="5" s="1"/>
  <c r="R1355" i="5"/>
  <c r="Q1355" i="5" s="1"/>
  <c r="R1356" i="5"/>
  <c r="Q1356" i="5" s="1"/>
  <c r="R1357" i="5"/>
  <c r="Q1357" i="5" s="1"/>
  <c r="R1358" i="5"/>
  <c r="Q1358" i="5" s="1"/>
  <c r="R1359" i="5"/>
  <c r="Q1359" i="5" s="1"/>
  <c r="R1360" i="5"/>
  <c r="Q1360" i="5" s="1"/>
  <c r="R1361" i="5"/>
  <c r="Q1361" i="5" s="1"/>
  <c r="R1362" i="5"/>
  <c r="Q1362" i="5" s="1"/>
  <c r="R1363" i="5"/>
  <c r="Q1363" i="5" s="1"/>
  <c r="R1364" i="5"/>
  <c r="Q1364" i="5" s="1"/>
  <c r="R1365" i="5"/>
  <c r="Q1365" i="5" s="1"/>
  <c r="R1366" i="5"/>
  <c r="Q1366" i="5" s="1"/>
  <c r="R1367" i="5"/>
  <c r="Q1367" i="5" s="1"/>
  <c r="R1368" i="5"/>
  <c r="Q1368" i="5" s="1"/>
  <c r="R1369" i="5"/>
  <c r="Q1369" i="5" s="1"/>
  <c r="R1371" i="5"/>
  <c r="R1372" i="5"/>
  <c r="Q1372" i="5" s="1"/>
  <c r="R1373" i="5"/>
  <c r="Q1373" i="5" s="1"/>
  <c r="R1374" i="5"/>
  <c r="Q1374" i="5" s="1"/>
  <c r="R1375" i="5"/>
  <c r="Q1375" i="5" s="1"/>
  <c r="R1376" i="5"/>
  <c r="Q1376" i="5" s="1"/>
  <c r="R1378" i="5"/>
  <c r="R1379" i="5"/>
  <c r="Q1379" i="5" s="1"/>
  <c r="R1380" i="5"/>
  <c r="Q1380" i="5" s="1"/>
  <c r="R1382" i="5"/>
  <c r="R1383" i="5"/>
  <c r="Q1383" i="5" s="1"/>
  <c r="R1384" i="5"/>
  <c r="Q1384" i="5" s="1"/>
  <c r="R1386" i="5"/>
  <c r="R1388" i="5"/>
  <c r="R1389" i="5"/>
  <c r="Q1389" i="5" s="1"/>
  <c r="R1390" i="5"/>
  <c r="Q1390" i="5" s="1"/>
  <c r="R1391" i="5"/>
  <c r="Q1391" i="5" s="1"/>
  <c r="R1392" i="5"/>
  <c r="Q1392" i="5" s="1"/>
  <c r="R1393" i="5"/>
  <c r="Q1393" i="5" s="1"/>
  <c r="R1394" i="5"/>
  <c r="Q1394" i="5" s="1"/>
  <c r="R1395" i="5"/>
  <c r="Q1395" i="5" s="1"/>
  <c r="R1396" i="5"/>
  <c r="Q1396" i="5" s="1"/>
  <c r="R1398" i="5"/>
  <c r="R1399" i="5"/>
  <c r="Q1399" i="5" s="1"/>
  <c r="R1401" i="5"/>
  <c r="R1402" i="5"/>
  <c r="Q1402" i="5" s="1"/>
  <c r="R1403" i="5"/>
  <c r="Q1403" i="5" s="1"/>
  <c r="R1404" i="5"/>
  <c r="Q1404" i="5" s="1"/>
  <c r="R1405" i="5"/>
  <c r="Q1405" i="5" s="1"/>
  <c r="R1406" i="5"/>
  <c r="Q1406" i="5" s="1"/>
  <c r="R1408" i="5"/>
  <c r="R1409" i="5"/>
  <c r="Q1409" i="5" s="1"/>
  <c r="R1410" i="5"/>
  <c r="Q1410" i="5" s="1"/>
  <c r="R1411" i="5"/>
  <c r="Q1411" i="5" s="1"/>
  <c r="R1412" i="5"/>
  <c r="Q1412" i="5" s="1"/>
  <c r="R1413" i="5"/>
  <c r="Q1413" i="5" s="1"/>
  <c r="R1414" i="5"/>
  <c r="Q1414" i="5" s="1"/>
  <c r="R1415" i="5"/>
  <c r="Q1415" i="5" s="1"/>
  <c r="R1416" i="5"/>
  <c r="Q1416" i="5" s="1"/>
  <c r="R1417" i="5"/>
  <c r="Q1417" i="5" s="1"/>
  <c r="R1418" i="5"/>
  <c r="Q1418" i="5" s="1"/>
  <c r="R1419" i="5"/>
  <c r="Q1419" i="5" s="1"/>
  <c r="R1420" i="5"/>
  <c r="Q1420" i="5" s="1"/>
  <c r="R1421" i="5"/>
  <c r="Q1421" i="5" s="1"/>
  <c r="R1422" i="5"/>
  <c r="Q1422" i="5" s="1"/>
  <c r="R1423" i="5"/>
  <c r="Q1423" i="5" s="1"/>
  <c r="R1424" i="5"/>
  <c r="Q1424" i="5" s="1"/>
  <c r="R1425" i="5"/>
  <c r="Q1425" i="5" s="1"/>
  <c r="R1426" i="5"/>
  <c r="Q1426" i="5" s="1"/>
  <c r="R1427" i="5"/>
  <c r="Q1427" i="5" s="1"/>
  <c r="R1428" i="5"/>
  <c r="Q1428" i="5" s="1"/>
  <c r="R1429" i="5"/>
  <c r="Q1429" i="5" s="1"/>
  <c r="R1430" i="5"/>
  <c r="Q1430" i="5" s="1"/>
  <c r="R1431" i="5"/>
  <c r="Q1431" i="5" s="1"/>
  <c r="R1432" i="5"/>
  <c r="Q1432" i="5" s="1"/>
  <c r="R1433" i="5"/>
  <c r="Q1433" i="5" s="1"/>
  <c r="R1434" i="5"/>
  <c r="Q1434" i="5" s="1"/>
  <c r="R1435" i="5"/>
  <c r="Q1435" i="5" s="1"/>
  <c r="R1436" i="5"/>
  <c r="Q1436" i="5" s="1"/>
  <c r="R1437" i="5"/>
  <c r="Q1437" i="5" s="1"/>
  <c r="R1438" i="5"/>
  <c r="Q1438" i="5" s="1"/>
  <c r="R1439" i="5"/>
  <c r="Q1439" i="5" s="1"/>
  <c r="R1440" i="5"/>
  <c r="Q1440" i="5" s="1"/>
  <c r="R1441" i="5"/>
  <c r="Q1441" i="5" s="1"/>
  <c r="R1442" i="5"/>
  <c r="Q1442" i="5" s="1"/>
  <c r="R1443" i="5"/>
  <c r="Q1443" i="5" s="1"/>
  <c r="R1444" i="5"/>
  <c r="Q1444" i="5" s="1"/>
  <c r="R1445" i="5"/>
  <c r="Q1445" i="5" s="1"/>
  <c r="R1446" i="5"/>
  <c r="Q1446" i="5" s="1"/>
  <c r="R1447" i="5"/>
  <c r="Q1447" i="5" s="1"/>
  <c r="R1448" i="5"/>
  <c r="Q1448" i="5" s="1"/>
  <c r="R1449" i="5"/>
  <c r="Q1449" i="5" s="1"/>
  <c r="R1450" i="5"/>
  <c r="Q1450" i="5" s="1"/>
  <c r="R1452" i="5"/>
  <c r="R1453" i="5"/>
  <c r="Q1453" i="5" s="1"/>
  <c r="R1455" i="5"/>
  <c r="R1456" i="5"/>
  <c r="Q1456" i="5" s="1"/>
  <c r="R1458" i="5"/>
  <c r="R1459" i="5"/>
  <c r="Q1459" i="5" s="1"/>
  <c r="R1461" i="5"/>
  <c r="R1462" i="5"/>
  <c r="Q1462" i="5" s="1"/>
  <c r="R1463" i="5"/>
  <c r="Q1463" i="5" s="1"/>
  <c r="R1464" i="5"/>
  <c r="Q1464" i="5" s="1"/>
  <c r="R1465" i="5"/>
  <c r="Q1465" i="5" s="1"/>
  <c r="R1466" i="5"/>
  <c r="Q1466" i="5" s="1"/>
  <c r="R1467" i="5"/>
  <c r="Q1467" i="5" s="1"/>
  <c r="R1468" i="5"/>
  <c r="Q1468" i="5" s="1"/>
  <c r="R1469" i="5"/>
  <c r="Q1469" i="5" s="1"/>
  <c r="R1470" i="5"/>
  <c r="Q1470" i="5" s="1"/>
  <c r="R1472" i="5"/>
  <c r="R1473" i="5"/>
  <c r="Q1473" i="5" s="1"/>
  <c r="R1474" i="5"/>
  <c r="Q1474" i="5" s="1"/>
  <c r="R1475" i="5"/>
  <c r="Q1475" i="5" s="1"/>
  <c r="R1476" i="5"/>
  <c r="Q1476" i="5" s="1"/>
  <c r="R1477" i="5"/>
  <c r="Q1477" i="5" s="1"/>
  <c r="R1478" i="5"/>
  <c r="Q1478" i="5" s="1"/>
  <c r="R1479" i="5"/>
  <c r="Q1479" i="5" s="1"/>
  <c r="R1481" i="5"/>
  <c r="R1482" i="5"/>
  <c r="Q1482" i="5" s="1"/>
  <c r="R1483" i="5"/>
  <c r="Q1483" i="5" s="1"/>
  <c r="R1484" i="5"/>
  <c r="Q1484" i="5" s="1"/>
  <c r="R1485" i="5"/>
  <c r="Q1485" i="5" s="1"/>
  <c r="R1486" i="5"/>
  <c r="Q1486" i="5" s="1"/>
  <c r="R1487" i="5"/>
  <c r="Q1487" i="5" s="1"/>
  <c r="R1488" i="5"/>
  <c r="Q1488" i="5" s="1"/>
  <c r="R1489" i="5"/>
  <c r="Q1489" i="5" s="1"/>
  <c r="R1490" i="5"/>
  <c r="Q1490" i="5" s="1"/>
  <c r="R1491" i="5"/>
  <c r="Q1491" i="5" s="1"/>
  <c r="R1493" i="5"/>
  <c r="R1494" i="5"/>
  <c r="Q1494" i="5" s="1"/>
  <c r="R1495" i="5"/>
  <c r="Q1495" i="5" s="1"/>
  <c r="R1496" i="5"/>
  <c r="Q1496" i="5" s="1"/>
  <c r="R1497" i="5"/>
  <c r="Q1497" i="5" s="1"/>
  <c r="R1499" i="5"/>
  <c r="R1500" i="5"/>
  <c r="Q1500" i="5" s="1"/>
  <c r="R1501" i="5"/>
  <c r="Q1501" i="5" s="1"/>
  <c r="R1502" i="5"/>
  <c r="Q1502" i="5" s="1"/>
  <c r="R1503" i="5"/>
  <c r="Q1503" i="5" s="1"/>
  <c r="R1504" i="5"/>
  <c r="Q1504" i="5" s="1"/>
  <c r="R1506" i="5"/>
  <c r="R1507" i="5"/>
  <c r="Q1507" i="5" s="1"/>
  <c r="R1508" i="5"/>
  <c r="Q1508" i="5" s="1"/>
  <c r="R1509" i="5"/>
  <c r="Q1509" i="5" s="1"/>
  <c r="R1511" i="5"/>
  <c r="R1512" i="5"/>
  <c r="Q1512" i="5" s="1"/>
  <c r="R1513" i="5"/>
  <c r="Q1513" i="5" s="1"/>
  <c r="R1514" i="5"/>
  <c r="Q1514" i="5" s="1"/>
  <c r="R1515" i="5"/>
  <c r="Q1515" i="5" s="1"/>
  <c r="R1516" i="5"/>
  <c r="Q1516" i="5" s="1"/>
  <c r="R1517" i="5"/>
  <c r="Q1517" i="5" s="1"/>
  <c r="R1518" i="5"/>
  <c r="Q1518" i="5" s="1"/>
  <c r="R1519" i="5"/>
  <c r="Q1519" i="5" s="1"/>
  <c r="R1520" i="5"/>
  <c r="Q1520" i="5" s="1"/>
  <c r="R1521" i="5"/>
  <c r="Q1521" i="5" s="1"/>
  <c r="R1522" i="5"/>
  <c r="Q1522" i="5" s="1"/>
  <c r="R1523" i="5"/>
  <c r="Q1523" i="5" s="1"/>
  <c r="R1524" i="5"/>
  <c r="Q1524" i="5" s="1"/>
  <c r="R1526" i="5"/>
  <c r="R1527" i="5"/>
  <c r="Q1527" i="5" s="1"/>
  <c r="R1528" i="5"/>
  <c r="Q1528" i="5" s="1"/>
  <c r="R1529" i="5"/>
  <c r="Q1529" i="5" s="1"/>
  <c r="R1530" i="5"/>
  <c r="Q1530" i="5" s="1"/>
  <c r="R1531" i="5"/>
  <c r="Q1531" i="5" s="1"/>
  <c r="R1532" i="5"/>
  <c r="Q1532" i="5" s="1"/>
  <c r="R1533" i="5"/>
  <c r="Q1533" i="5" s="1"/>
  <c r="R1534" i="5"/>
  <c r="Q1534" i="5" s="1"/>
  <c r="R1535" i="5"/>
  <c r="Q1535" i="5" s="1"/>
  <c r="R1536" i="5"/>
  <c r="Q1536" i="5" s="1"/>
  <c r="R1537" i="5"/>
  <c r="Q1537" i="5" s="1"/>
  <c r="R1538" i="5"/>
  <c r="Q1538" i="5" s="1"/>
  <c r="R1539" i="5"/>
  <c r="Q1539" i="5" s="1"/>
  <c r="R1541" i="5"/>
  <c r="R1542" i="5"/>
  <c r="Q1542" i="5" s="1"/>
  <c r="R1543" i="5"/>
  <c r="Q1543" i="5" s="1"/>
  <c r="R1544" i="5"/>
  <c r="Q1544" i="5" s="1"/>
  <c r="R1545" i="5"/>
  <c r="Q1545" i="5" s="1"/>
  <c r="R1546" i="5"/>
  <c r="Q1546" i="5" s="1"/>
  <c r="R1547" i="5"/>
  <c r="Q1547" i="5" s="1"/>
  <c r="R1549" i="5"/>
  <c r="R1550" i="5"/>
  <c r="Q1550" i="5" s="1"/>
  <c r="R1552" i="5"/>
  <c r="R1553" i="5"/>
  <c r="Q1553" i="5" s="1"/>
  <c r="R1554" i="5"/>
  <c r="Q1554" i="5" s="1"/>
  <c r="R1555" i="5"/>
  <c r="Q1555" i="5" s="1"/>
  <c r="R1556" i="5"/>
  <c r="Q1556" i="5" s="1"/>
  <c r="R1557" i="5"/>
  <c r="Q1557" i="5" s="1"/>
  <c r="R1558" i="5"/>
  <c r="Q1558" i="5" s="1"/>
  <c r="R1559" i="5"/>
  <c r="Q1559" i="5" s="1"/>
  <c r="R1561" i="5"/>
  <c r="R1562" i="5"/>
  <c r="Q1562" i="5" s="1"/>
  <c r="R1563" i="5"/>
  <c r="Q1563" i="5" s="1"/>
  <c r="R1564" i="5"/>
  <c r="Q1564" i="5" s="1"/>
  <c r="R1565" i="5"/>
  <c r="Q1565" i="5" s="1"/>
  <c r="R1566" i="5"/>
  <c r="Q1566" i="5" s="1"/>
  <c r="R1567" i="5"/>
  <c r="Q1567" i="5" s="1"/>
  <c r="R1568" i="5"/>
  <c r="Q1568" i="5" s="1"/>
  <c r="R1569" i="5"/>
  <c r="Q1569" i="5" s="1"/>
  <c r="R1570" i="5"/>
  <c r="Q1570" i="5" s="1"/>
  <c r="R1572" i="5"/>
  <c r="R1574" i="5"/>
  <c r="R1575" i="5"/>
  <c r="Q1575" i="5" s="1"/>
  <c r="R1576" i="5"/>
  <c r="Q1576" i="5" s="1"/>
  <c r="R1577" i="5"/>
  <c r="Q1577" i="5" s="1"/>
  <c r="R1578" i="5"/>
  <c r="Q1578" i="5" s="1"/>
  <c r="R1580" i="5"/>
  <c r="R1581" i="5"/>
  <c r="Q1581" i="5" s="1"/>
  <c r="R1583" i="5"/>
  <c r="R1584" i="5"/>
  <c r="Q1584" i="5" s="1"/>
  <c r="R1585" i="5"/>
  <c r="Q1585" i="5" s="1"/>
  <c r="R1586" i="5"/>
  <c r="Q1586" i="5" s="1"/>
  <c r="R1587" i="5"/>
  <c r="Q1587" i="5" s="1"/>
  <c r="R1589" i="5"/>
  <c r="R1590" i="5"/>
  <c r="Q1590" i="5" s="1"/>
  <c r="R1591" i="5"/>
  <c r="Q1591" i="5" s="1"/>
  <c r="R1592" i="5"/>
  <c r="Q1592" i="5" s="1"/>
  <c r="R1593" i="5"/>
  <c r="Q1593" i="5" s="1"/>
  <c r="R1594" i="5"/>
  <c r="Q1594" i="5" s="1"/>
  <c r="R1596" i="5"/>
  <c r="R1598" i="5"/>
  <c r="R1600" i="5"/>
  <c r="R1601" i="5"/>
  <c r="Q1601" i="5" s="1"/>
  <c r="R1602" i="5"/>
  <c r="Q1602" i="5" s="1"/>
  <c r="R1604" i="5"/>
  <c r="R1605" i="5"/>
  <c r="Q1605" i="5" s="1"/>
  <c r="R1606" i="5"/>
  <c r="Q1606" i="5" s="1"/>
  <c r="R1607" i="5"/>
  <c r="Q1607" i="5" s="1"/>
  <c r="R1608" i="5"/>
  <c r="Q1608" i="5" s="1"/>
  <c r="R1609" i="5"/>
  <c r="Q1609" i="5" s="1"/>
  <c r="R1610" i="5"/>
  <c r="Q1610" i="5" s="1"/>
  <c r="R1611" i="5"/>
  <c r="Q1611" i="5" s="1"/>
  <c r="R1612" i="5"/>
  <c r="Q1612" i="5" s="1"/>
  <c r="R1613" i="5"/>
  <c r="Q1613" i="5" s="1"/>
  <c r="R1614" i="5"/>
  <c r="Q1614" i="5" s="1"/>
  <c r="R1615" i="5"/>
  <c r="Q1615" i="5" s="1"/>
  <c r="R1616" i="5"/>
  <c r="Q1616" i="5" s="1"/>
  <c r="R1617" i="5"/>
  <c r="Q1617" i="5" s="1"/>
  <c r="R1618" i="5"/>
  <c r="Q1618" i="5" s="1"/>
  <c r="R1619" i="5"/>
  <c r="Q1619" i="5" s="1"/>
  <c r="R1620" i="5"/>
  <c r="Q1620" i="5" s="1"/>
  <c r="R1621" i="5"/>
  <c r="Q1621" i="5" s="1"/>
  <c r="R1622" i="5"/>
  <c r="Q1622" i="5" s="1"/>
  <c r="R1623" i="5"/>
  <c r="Q1623" i="5" s="1"/>
  <c r="R1624" i="5"/>
  <c r="Q1624" i="5" s="1"/>
  <c r="R1625" i="5"/>
  <c r="Q1625" i="5" s="1"/>
  <c r="R1626" i="5"/>
  <c r="Q1626" i="5" s="1"/>
  <c r="R1627" i="5"/>
  <c r="Q1627" i="5" s="1"/>
  <c r="R1628" i="5"/>
  <c r="Q1628" i="5" s="1"/>
  <c r="R1629" i="5"/>
  <c r="Q1629" i="5" s="1"/>
  <c r="R1630" i="5"/>
  <c r="Q1630" i="5" s="1"/>
  <c r="R1631" i="5"/>
  <c r="Q1631" i="5" s="1"/>
  <c r="R1632" i="5"/>
  <c r="Q1632" i="5" s="1"/>
  <c r="R1633" i="5"/>
  <c r="Q1633" i="5" s="1"/>
  <c r="R1634" i="5"/>
  <c r="Q1634" i="5" s="1"/>
  <c r="R1635" i="5"/>
  <c r="Q1635" i="5" s="1"/>
  <c r="R1636" i="5"/>
  <c r="Q1636" i="5" s="1"/>
  <c r="R1637" i="5"/>
  <c r="Q1637" i="5" s="1"/>
  <c r="R1638" i="5"/>
  <c r="Q1638" i="5" s="1"/>
  <c r="R1639" i="5"/>
  <c r="Q1639" i="5" s="1"/>
  <c r="R1640" i="5"/>
  <c r="Q1640" i="5" s="1"/>
  <c r="R1641" i="5"/>
  <c r="Q1641" i="5" s="1"/>
  <c r="R1642" i="5"/>
  <c r="Q1642" i="5" s="1"/>
  <c r="R1643" i="5"/>
  <c r="Q1643" i="5" s="1"/>
  <c r="R1644" i="5"/>
  <c r="Q1644" i="5" s="1"/>
  <c r="R1645" i="5"/>
  <c r="Q1645" i="5" s="1"/>
  <c r="R1646" i="5"/>
  <c r="Q1646" i="5" s="1"/>
  <c r="R1647" i="5"/>
  <c r="Q1647" i="5" s="1"/>
  <c r="R1648" i="5"/>
  <c r="Q1648" i="5" s="1"/>
  <c r="R1649" i="5"/>
  <c r="Q1649" i="5" s="1"/>
  <c r="R1650" i="5"/>
  <c r="Q1650" i="5" s="1"/>
  <c r="R1651" i="5"/>
  <c r="Q1651" i="5" s="1"/>
  <c r="R1652" i="5"/>
  <c r="Q1652" i="5" s="1"/>
  <c r="R1653" i="5"/>
  <c r="Q1653" i="5" s="1"/>
  <c r="R1654" i="5"/>
  <c r="Q1654" i="5" s="1"/>
  <c r="R1655" i="5"/>
  <c r="Q1655" i="5" s="1"/>
  <c r="R1656" i="5"/>
  <c r="Q1656" i="5" s="1"/>
  <c r="R1657" i="5"/>
  <c r="Q1657" i="5" s="1"/>
  <c r="R1658" i="5"/>
  <c r="Q1658" i="5" s="1"/>
  <c r="R1659" i="5"/>
  <c r="Q1659" i="5" s="1"/>
  <c r="R1660" i="5"/>
  <c r="Q1660" i="5" s="1"/>
  <c r="R1661" i="5"/>
  <c r="Q1661" i="5" s="1"/>
  <c r="R1662" i="5"/>
  <c r="Q1662" i="5" s="1"/>
  <c r="R1663" i="5"/>
  <c r="Q1663" i="5" s="1"/>
  <c r="R1664" i="5"/>
  <c r="Q1664" i="5" s="1"/>
  <c r="R1665" i="5"/>
  <c r="Q1665" i="5" s="1"/>
  <c r="R1666" i="5"/>
  <c r="Q1666" i="5" s="1"/>
  <c r="R1667" i="5"/>
  <c r="Q1667" i="5" s="1"/>
  <c r="R1668" i="5"/>
  <c r="Q1668" i="5" s="1"/>
  <c r="R1669" i="5"/>
  <c r="Q1669" i="5" s="1"/>
  <c r="R1670" i="5"/>
  <c r="Q1670" i="5" s="1"/>
  <c r="R1672" i="5"/>
  <c r="R1673" i="5"/>
  <c r="Q1673" i="5" s="1"/>
  <c r="R1674" i="5"/>
  <c r="Q1674" i="5" s="1"/>
  <c r="R1675" i="5"/>
  <c r="Q1675" i="5" s="1"/>
  <c r="R1676" i="5"/>
  <c r="Q1676" i="5" s="1"/>
  <c r="R1677" i="5"/>
  <c r="Q1677" i="5" s="1"/>
  <c r="R1678" i="5"/>
  <c r="Q1678" i="5" s="1"/>
  <c r="R1680" i="5"/>
  <c r="R1681" i="5"/>
  <c r="Q1681" i="5" s="1"/>
  <c r="R1682" i="5"/>
  <c r="Q1682" i="5" s="1"/>
  <c r="R1683" i="5"/>
  <c r="Q1683" i="5" s="1"/>
  <c r="R1684" i="5"/>
  <c r="Q1684" i="5" s="1"/>
  <c r="R1685" i="5"/>
  <c r="Q1685" i="5" s="1"/>
  <c r="R1686" i="5"/>
  <c r="Q1686" i="5" s="1"/>
  <c r="R1687" i="5"/>
  <c r="Q1687" i="5" s="1"/>
  <c r="R1688" i="5"/>
  <c r="Q1688" i="5" s="1"/>
  <c r="R1689" i="5"/>
  <c r="Q1689" i="5" s="1"/>
  <c r="R1690" i="5"/>
  <c r="Q1690" i="5" s="1"/>
  <c r="R1691" i="5"/>
  <c r="Q1691" i="5" s="1"/>
  <c r="R1692" i="5"/>
  <c r="Q1692" i="5" s="1"/>
  <c r="R1693" i="5"/>
  <c r="Q1693" i="5" s="1"/>
  <c r="R1694" i="5"/>
  <c r="Q1694" i="5" s="1"/>
  <c r="R1695" i="5"/>
  <c r="Q1695" i="5" s="1"/>
  <c r="R1696" i="5"/>
  <c r="Q1696" i="5" s="1"/>
  <c r="R1697" i="5"/>
  <c r="Q1697" i="5" s="1"/>
  <c r="R1698" i="5"/>
  <c r="Q1698" i="5" s="1"/>
  <c r="R1699" i="5"/>
  <c r="Q1699" i="5" s="1"/>
  <c r="R1700" i="5"/>
  <c r="Q1700" i="5" s="1"/>
  <c r="R1701" i="5"/>
  <c r="Q1701" i="5" s="1"/>
  <c r="R1702" i="5"/>
  <c r="Q1702" i="5" s="1"/>
  <c r="R1703" i="5"/>
  <c r="Q1703" i="5" s="1"/>
  <c r="R1704" i="5"/>
  <c r="Q1704" i="5" s="1"/>
  <c r="R1705" i="5"/>
  <c r="Q1705" i="5" s="1"/>
  <c r="R1706" i="5"/>
  <c r="Q1706" i="5" s="1"/>
  <c r="R1707" i="5"/>
  <c r="Q1707" i="5" s="1"/>
  <c r="R1708" i="5"/>
  <c r="Q1708" i="5" s="1"/>
  <c r="R1710" i="5"/>
  <c r="R1711" i="5"/>
  <c r="Q1711" i="5" s="1"/>
  <c r="R1713" i="5"/>
  <c r="R1715" i="5"/>
  <c r="R1716" i="5"/>
  <c r="Q1716" i="5" s="1"/>
  <c r="R1717" i="5"/>
  <c r="Q1717" i="5" s="1"/>
  <c r="R1718" i="5"/>
  <c r="Q1718" i="5" s="1"/>
  <c r="R1719" i="5"/>
  <c r="Q1719" i="5" s="1"/>
  <c r="R1720" i="5"/>
  <c r="Q1720" i="5" s="1"/>
  <c r="R1722" i="5"/>
  <c r="R1723" i="5"/>
  <c r="Q1723" i="5" s="1"/>
  <c r="R1724" i="5"/>
  <c r="Q1724" i="5" s="1"/>
  <c r="R1725" i="5"/>
  <c r="Q1725" i="5" s="1"/>
  <c r="R1726" i="5"/>
  <c r="Q1726" i="5" s="1"/>
  <c r="R1727" i="5"/>
  <c r="Q1727" i="5" s="1"/>
  <c r="R1729" i="5"/>
  <c r="R1730" i="5"/>
  <c r="Q1730" i="5" s="1"/>
  <c r="R1731" i="5"/>
  <c r="Q1731" i="5" s="1"/>
  <c r="R1732" i="5"/>
  <c r="Q1732" i="5" s="1"/>
  <c r="R1733" i="5"/>
  <c r="Q1733" i="5" s="1"/>
  <c r="R1734" i="5"/>
  <c r="Q1734" i="5" s="1"/>
  <c r="R1735" i="5"/>
  <c r="Q1735" i="5" s="1"/>
  <c r="R1736" i="5"/>
  <c r="Q1736" i="5" s="1"/>
  <c r="R1737" i="5"/>
  <c r="Q1737" i="5" s="1"/>
  <c r="R1738" i="5"/>
  <c r="Q1738" i="5" s="1"/>
  <c r="R1739" i="5"/>
  <c r="Q1739" i="5" s="1"/>
  <c r="R1740" i="5"/>
  <c r="Q1740" i="5" s="1"/>
  <c r="R1741" i="5"/>
  <c r="Q1741" i="5" s="1"/>
  <c r="R1742" i="5"/>
  <c r="Q1742" i="5" s="1"/>
  <c r="R1744" i="5"/>
  <c r="R1745" i="5"/>
  <c r="Q1745" i="5" s="1"/>
  <c r="R1746" i="5"/>
  <c r="Q1746" i="5" s="1"/>
  <c r="R1748" i="5"/>
  <c r="R1749" i="5"/>
  <c r="Q1749" i="5" s="1"/>
  <c r="R1750" i="5"/>
  <c r="Q1750" i="5" s="1"/>
  <c r="R1751" i="5"/>
  <c r="Q1751" i="5" s="1"/>
  <c r="R1752" i="5"/>
  <c r="Q1752" i="5" s="1"/>
  <c r="R1753" i="5"/>
  <c r="Q1753" i="5" s="1"/>
  <c r="R1754" i="5"/>
  <c r="Q1754" i="5" s="1"/>
  <c r="R1756" i="5"/>
  <c r="R1757" i="5"/>
  <c r="Q1757" i="5" s="1"/>
  <c r="R1758" i="5"/>
  <c r="Q1758" i="5" s="1"/>
  <c r="R1759" i="5"/>
  <c r="Q1759" i="5" s="1"/>
  <c r="R1760" i="5"/>
  <c r="Q1760" i="5" s="1"/>
  <c r="R1761" i="5"/>
  <c r="Q1761" i="5" s="1"/>
  <c r="R1762" i="5"/>
  <c r="Q1762" i="5" s="1"/>
  <c r="R1763" i="5"/>
  <c r="Q1763" i="5" s="1"/>
  <c r="R1764" i="5"/>
  <c r="Q1764" i="5" s="1"/>
  <c r="R1765" i="5"/>
  <c r="Q1765" i="5" s="1"/>
  <c r="R1766" i="5"/>
  <c r="Q1766" i="5" s="1"/>
  <c r="R1768" i="5"/>
  <c r="R1769" i="5"/>
  <c r="Q1769" i="5" s="1"/>
  <c r="R1771" i="5"/>
  <c r="R1772" i="5"/>
  <c r="Q1772" i="5" s="1"/>
  <c r="R1774" i="5"/>
  <c r="R1775" i="5"/>
  <c r="Q1775" i="5" s="1"/>
  <c r="R1776" i="5"/>
  <c r="Q1776" i="5" s="1"/>
  <c r="R1778" i="5"/>
  <c r="R1779" i="5"/>
  <c r="Q1779" i="5" s="1"/>
  <c r="R1780" i="5"/>
  <c r="Q1780" i="5" s="1"/>
  <c r="R1781" i="5"/>
  <c r="Q1781" i="5" s="1"/>
  <c r="R1782" i="5"/>
  <c r="Q1782" i="5" s="1"/>
  <c r="R1783" i="5"/>
  <c r="Q1783" i="5" s="1"/>
  <c r="R1784" i="5"/>
  <c r="Q1784" i="5" s="1"/>
  <c r="R1786" i="5"/>
  <c r="R1787" i="5"/>
  <c r="Q1787" i="5" s="1"/>
  <c r="R1788" i="5"/>
  <c r="Q1788" i="5" s="1"/>
  <c r="R1789" i="5"/>
  <c r="Q1789" i="5" s="1"/>
  <c r="R1790" i="5"/>
  <c r="Q1790" i="5" s="1"/>
  <c r="R1791" i="5"/>
  <c r="Q1791" i="5" s="1"/>
  <c r="R1792" i="5"/>
  <c r="Q1792" i="5" s="1"/>
  <c r="R1793" i="5"/>
  <c r="Q1793" i="5" s="1"/>
  <c r="R1794" i="5"/>
  <c r="Q1794" i="5" s="1"/>
  <c r="R1795" i="5"/>
  <c r="Q1795" i="5" s="1"/>
  <c r="R1796" i="5"/>
  <c r="Q1796" i="5" s="1"/>
  <c r="R1798" i="5"/>
  <c r="R1800" i="5"/>
  <c r="R1801" i="5"/>
  <c r="Q1801" i="5" s="1"/>
  <c r="R1803" i="5"/>
  <c r="R1804" i="5" s="1"/>
  <c r="R1805" i="5"/>
  <c r="R1806" i="5"/>
  <c r="Q1806" i="5" s="1"/>
  <c r="R1807" i="5"/>
  <c r="Q1807" i="5" s="1"/>
  <c r="R1808" i="5"/>
  <c r="Q1808" i="5" s="1"/>
  <c r="R1810" i="5"/>
  <c r="R1811" i="5"/>
  <c r="Q1811" i="5" s="1"/>
  <c r="R1812" i="5"/>
  <c r="Q1812" i="5" s="1"/>
  <c r="R1814" i="5"/>
  <c r="R1815" i="5"/>
  <c r="Q1815" i="5" s="1"/>
  <c r="R1816" i="5"/>
  <c r="Q1816" i="5" s="1"/>
  <c r="R1817" i="5"/>
  <c r="Q1817" i="5" s="1"/>
  <c r="R1818" i="5"/>
  <c r="Q1818" i="5" s="1"/>
  <c r="R1820" i="5"/>
  <c r="R1821" i="5"/>
  <c r="Q1821" i="5" s="1"/>
  <c r="R1823" i="5"/>
  <c r="R1824" i="5"/>
  <c r="Q1824" i="5" s="1"/>
  <c r="R1826" i="5"/>
  <c r="R1827" i="5"/>
  <c r="Q1827" i="5" s="1"/>
  <c r="R1828" i="5"/>
  <c r="Q1828" i="5" s="1"/>
  <c r="R1829" i="5"/>
  <c r="Q1829" i="5" s="1"/>
  <c r="R1830" i="5"/>
  <c r="Q1830" i="5" s="1"/>
  <c r="R1831" i="5"/>
  <c r="Q1831" i="5" s="1"/>
  <c r="R1832" i="5"/>
  <c r="Q1832" i="5" s="1"/>
  <c r="R1833" i="5"/>
  <c r="Q1833" i="5" s="1"/>
  <c r="R1834" i="5"/>
  <c r="Q1834" i="5" s="1"/>
  <c r="R1835" i="5"/>
  <c r="Q1835" i="5" s="1"/>
  <c r="R1836" i="5"/>
  <c r="Q1836" i="5" s="1"/>
  <c r="R1837" i="5"/>
  <c r="Q1837" i="5" s="1"/>
  <c r="R1838" i="5"/>
  <c r="Q1838" i="5" s="1"/>
  <c r="R1839" i="5"/>
  <c r="Q1839" i="5" s="1"/>
  <c r="R1840" i="5"/>
  <c r="Q1840" i="5" s="1"/>
  <c r="R1841" i="5"/>
  <c r="Q1841" i="5" s="1"/>
  <c r="R1842" i="5"/>
  <c r="Q1842" i="5" s="1"/>
  <c r="R1843" i="5"/>
  <c r="Q1843" i="5" s="1"/>
  <c r="R1844" i="5"/>
  <c r="Q1844" i="5" s="1"/>
  <c r="R1845" i="5"/>
  <c r="Q1845" i="5" s="1"/>
  <c r="R1846" i="5"/>
  <c r="Q1846" i="5" s="1"/>
  <c r="R1847" i="5"/>
  <c r="Q1847" i="5" s="1"/>
  <c r="R1848" i="5"/>
  <c r="Q1848" i="5" s="1"/>
  <c r="R1849" i="5"/>
  <c r="Q1849" i="5" s="1"/>
  <c r="R1850" i="5"/>
  <c r="Q1850" i="5" s="1"/>
  <c r="R1851" i="5"/>
  <c r="Q1851" i="5" s="1"/>
  <c r="R1852" i="5"/>
  <c r="Q1852" i="5" s="1"/>
  <c r="R1853" i="5"/>
  <c r="Q1853" i="5" s="1"/>
  <c r="R1854" i="5"/>
  <c r="Q1854" i="5" s="1"/>
  <c r="R1855" i="5"/>
  <c r="Q1855" i="5" s="1"/>
  <c r="R1856" i="5"/>
  <c r="Q1856" i="5" s="1"/>
  <c r="R1857" i="5"/>
  <c r="Q1857" i="5" s="1"/>
  <c r="R1858" i="5"/>
  <c r="Q1858" i="5" s="1"/>
  <c r="R1859" i="5"/>
  <c r="Q1859" i="5" s="1"/>
  <c r="R1860" i="5"/>
  <c r="Q1860" i="5" s="1"/>
  <c r="R1861" i="5"/>
  <c r="Q1861" i="5" s="1"/>
  <c r="R1862" i="5"/>
  <c r="Q1862" i="5" s="1"/>
  <c r="R1863" i="5"/>
  <c r="Q1863" i="5" s="1"/>
  <c r="R1864" i="5"/>
  <c r="Q1864" i="5" s="1"/>
  <c r="R1865" i="5"/>
  <c r="Q1865" i="5" s="1"/>
  <c r="R1866" i="5"/>
  <c r="Q1866" i="5" s="1"/>
  <c r="R1867" i="5"/>
  <c r="Q1867" i="5" s="1"/>
  <c r="R1868" i="5"/>
  <c r="Q1868" i="5" s="1"/>
  <c r="R1869" i="5"/>
  <c r="Q1869" i="5" s="1"/>
  <c r="R1870" i="5"/>
  <c r="Q1870" i="5" s="1"/>
  <c r="R1871" i="5"/>
  <c r="Q1871" i="5" s="1"/>
  <c r="R1872" i="5"/>
  <c r="Q1872" i="5" s="1"/>
  <c r="R1873" i="5"/>
  <c r="Q1873" i="5" s="1"/>
  <c r="R1874" i="5"/>
  <c r="Q1874" i="5" s="1"/>
  <c r="R1875" i="5"/>
  <c r="Q1875" i="5" s="1"/>
  <c r="R1876" i="5"/>
  <c r="Q1876" i="5" s="1"/>
  <c r="R1877" i="5"/>
  <c r="Q1877" i="5" s="1"/>
  <c r="R1878" i="5"/>
  <c r="Q1878" i="5" s="1"/>
  <c r="R1879" i="5"/>
  <c r="Q1879" i="5" s="1"/>
  <c r="R1880" i="5"/>
  <c r="Q1880" i="5" s="1"/>
  <c r="R1881" i="5"/>
  <c r="Q1881" i="5" s="1"/>
  <c r="R1882" i="5"/>
  <c r="Q1882" i="5" s="1"/>
  <c r="R1883" i="5"/>
  <c r="Q1883" i="5" s="1"/>
  <c r="R1884" i="5"/>
  <c r="Q1884" i="5" s="1"/>
  <c r="R1885" i="5"/>
  <c r="Q1885" i="5" s="1"/>
  <c r="R1886" i="5"/>
  <c r="Q1886" i="5" s="1"/>
  <c r="R1887" i="5"/>
  <c r="Q1887" i="5" s="1"/>
  <c r="R1888" i="5"/>
  <c r="Q1888" i="5" s="1"/>
  <c r="R1889" i="5"/>
  <c r="Q1889" i="5" s="1"/>
  <c r="R1890" i="5"/>
  <c r="Q1890" i="5" s="1"/>
  <c r="R1891" i="5"/>
  <c r="Q1891" i="5" s="1"/>
  <c r="R1892" i="5"/>
  <c r="Q1892" i="5" s="1"/>
  <c r="R1893" i="5"/>
  <c r="Q1893" i="5" s="1"/>
  <c r="R1894" i="5"/>
  <c r="Q1894" i="5" s="1"/>
  <c r="R1895" i="5"/>
  <c r="Q1895" i="5" s="1"/>
  <c r="R1896" i="5"/>
  <c r="Q1896" i="5" s="1"/>
  <c r="R1897" i="5"/>
  <c r="Q1897" i="5" s="1"/>
  <c r="R1898" i="5"/>
  <c r="Q1898" i="5" s="1"/>
  <c r="R1899" i="5"/>
  <c r="Q1899" i="5" s="1"/>
  <c r="R1900" i="5"/>
  <c r="Q1900" i="5" s="1"/>
  <c r="R1901" i="5"/>
  <c r="Q1901" i="5" s="1"/>
  <c r="R1902" i="5"/>
  <c r="Q1902" i="5" s="1"/>
  <c r="R1903" i="5"/>
  <c r="Q1903" i="5" s="1"/>
  <c r="R1904" i="5"/>
  <c r="Q1904" i="5" s="1"/>
  <c r="R1905" i="5"/>
  <c r="Q1905" i="5" s="1"/>
  <c r="R1906" i="5"/>
  <c r="Q1906" i="5" s="1"/>
  <c r="R1907" i="5"/>
  <c r="Q1907" i="5" s="1"/>
  <c r="R1908" i="5"/>
  <c r="Q1908" i="5" s="1"/>
  <c r="R1909" i="5"/>
  <c r="Q1909" i="5" s="1"/>
  <c r="R1910" i="5"/>
  <c r="Q1910" i="5" s="1"/>
  <c r="R1911" i="5"/>
  <c r="Q1911" i="5" s="1"/>
  <c r="R1912" i="5"/>
  <c r="Q1912" i="5" s="1"/>
  <c r="R1913" i="5"/>
  <c r="Q1913" i="5" s="1"/>
  <c r="R1914" i="5"/>
  <c r="Q1914" i="5" s="1"/>
  <c r="R1915" i="5"/>
  <c r="Q1915" i="5" s="1"/>
  <c r="R1916" i="5"/>
  <c r="Q1916" i="5" s="1"/>
  <c r="R1917" i="5"/>
  <c r="Q1917" i="5" s="1"/>
  <c r="R1918" i="5"/>
  <c r="Q1918" i="5" s="1"/>
  <c r="R1919" i="5"/>
  <c r="Q1919" i="5" s="1"/>
  <c r="R1920" i="5"/>
  <c r="Q1920" i="5" s="1"/>
  <c r="R1921" i="5"/>
  <c r="Q1921" i="5" s="1"/>
  <c r="R1922" i="5"/>
  <c r="Q1922" i="5" s="1"/>
  <c r="R1923" i="5"/>
  <c r="Q1923" i="5" s="1"/>
  <c r="R1925" i="5"/>
  <c r="R1926" i="5"/>
  <c r="Q1926" i="5" s="1"/>
  <c r="R1927" i="5"/>
  <c r="Q1927" i="5" s="1"/>
  <c r="R1928" i="5"/>
  <c r="Q1928" i="5" s="1"/>
  <c r="R1929" i="5"/>
  <c r="Q1929" i="5" s="1"/>
  <c r="R1930" i="5"/>
  <c r="Q1930" i="5" s="1"/>
  <c r="R1931" i="5"/>
  <c r="Q1931" i="5" s="1"/>
  <c r="R1932" i="5"/>
  <c r="Q1932" i="5" s="1"/>
  <c r="R1933" i="5"/>
  <c r="Q1933" i="5" s="1"/>
  <c r="R1934" i="5"/>
  <c r="Q1934" i="5" s="1"/>
  <c r="R1935" i="5"/>
  <c r="Q1935" i="5" s="1"/>
  <c r="R1937" i="5"/>
  <c r="R1939" i="5"/>
  <c r="R1940" i="5"/>
  <c r="Q1940" i="5" s="1"/>
  <c r="R1941" i="5"/>
  <c r="Q1941" i="5" s="1"/>
  <c r="R1942" i="5"/>
  <c r="Q1942" i="5" s="1"/>
  <c r="R1943" i="5"/>
  <c r="Q1943" i="5" s="1"/>
  <c r="R1944" i="5"/>
  <c r="Q1944" i="5" s="1"/>
  <c r="R1945" i="5"/>
  <c r="Q1945" i="5" s="1"/>
  <c r="R1946" i="5"/>
  <c r="Q1946" i="5" s="1"/>
  <c r="R1947" i="5"/>
  <c r="Q1947" i="5" s="1"/>
  <c r="R1948" i="5"/>
  <c r="Q1948" i="5" s="1"/>
  <c r="R1950" i="5"/>
  <c r="R1952" i="5"/>
  <c r="R1953" i="5"/>
  <c r="Q1953" i="5" s="1"/>
  <c r="R1954" i="5"/>
  <c r="Q1954" i="5" s="1"/>
  <c r="R1955" i="5"/>
  <c r="Q1955" i="5" s="1"/>
  <c r="R1956" i="5"/>
  <c r="Q1956" i="5" s="1"/>
  <c r="R1957" i="5"/>
  <c r="Q1957" i="5" s="1"/>
  <c r="R1958" i="5"/>
  <c r="Q1958" i="5" s="1"/>
  <c r="R1959" i="5"/>
  <c r="Q1959" i="5" s="1"/>
  <c r="R1960" i="5"/>
  <c r="Q1960" i="5" s="1"/>
  <c r="R1961" i="5"/>
  <c r="Q1961" i="5" s="1"/>
  <c r="R1962" i="5"/>
  <c r="Q1962" i="5" s="1"/>
  <c r="R1963" i="5"/>
  <c r="Q1963" i="5" s="1"/>
  <c r="R1964" i="5"/>
  <c r="Q1964" i="5" s="1"/>
  <c r="R1965" i="5"/>
  <c r="Q1965" i="5" s="1"/>
  <c r="R1966" i="5"/>
  <c r="Q1966" i="5" s="1"/>
  <c r="R1967" i="5"/>
  <c r="Q1967" i="5" s="1"/>
  <c r="R1968" i="5"/>
  <c r="Q1968" i="5" s="1"/>
  <c r="R1969" i="5"/>
  <c r="Q1969" i="5" s="1"/>
  <c r="R1970" i="5"/>
  <c r="Q1970" i="5" s="1"/>
  <c r="R1971" i="5"/>
  <c r="Q1971" i="5" s="1"/>
  <c r="R1972" i="5"/>
  <c r="Q1972" i="5" s="1"/>
  <c r="R1973" i="5"/>
  <c r="Q1973" i="5" s="1"/>
  <c r="R1974" i="5"/>
  <c r="Q1974" i="5" s="1"/>
  <c r="R1975" i="5"/>
  <c r="Q1975" i="5" s="1"/>
  <c r="R1976" i="5"/>
  <c r="Q1976" i="5" s="1"/>
  <c r="R1977" i="5"/>
  <c r="Q1977" i="5" s="1"/>
  <c r="R1978" i="5"/>
  <c r="Q1978" i="5" s="1"/>
  <c r="R1979" i="5"/>
  <c r="Q1979" i="5" s="1"/>
  <c r="R1980" i="5"/>
  <c r="Q1980" i="5" s="1"/>
  <c r="R1981" i="5"/>
  <c r="Q1981" i="5" s="1"/>
  <c r="R1982" i="5"/>
  <c r="Q1982" i="5" s="1"/>
  <c r="R1984" i="5"/>
  <c r="R1985" i="5"/>
  <c r="Q1985" i="5" s="1"/>
  <c r="R1986" i="5"/>
  <c r="Q1986" i="5" s="1"/>
  <c r="R1987" i="5"/>
  <c r="Q1987" i="5" s="1"/>
  <c r="R1988" i="5"/>
  <c r="Q1988" i="5" s="1"/>
  <c r="R1989" i="5"/>
  <c r="Q1989" i="5" s="1"/>
  <c r="R1990" i="5"/>
  <c r="Q1990" i="5" s="1"/>
  <c r="R1991" i="5"/>
  <c r="Q1991" i="5" s="1"/>
  <c r="R1992" i="5"/>
  <c r="Q1992" i="5" s="1"/>
  <c r="R1993" i="5"/>
  <c r="Q1993" i="5" s="1"/>
  <c r="R1994" i="5"/>
  <c r="Q1994" i="5" s="1"/>
  <c r="R1995" i="5"/>
  <c r="Q1995" i="5" s="1"/>
  <c r="R1996" i="5"/>
  <c r="Q1996" i="5" s="1"/>
  <c r="R1997" i="5"/>
  <c r="Q1997" i="5" s="1"/>
  <c r="R1998" i="5"/>
  <c r="Q1998" i="5" s="1"/>
  <c r="R1999" i="5"/>
  <c r="Q1999" i="5" s="1"/>
  <c r="R2000" i="5"/>
  <c r="Q2000" i="5" s="1"/>
  <c r="R2001" i="5"/>
  <c r="Q2001" i="5" s="1"/>
  <c r="R2002" i="5"/>
  <c r="Q2002" i="5" s="1"/>
  <c r="R2003" i="5"/>
  <c r="Q2003" i="5" s="1"/>
  <c r="R2004" i="5"/>
  <c r="Q2004" i="5" s="1"/>
  <c r="R2005" i="5"/>
  <c r="Q2005" i="5" s="1"/>
  <c r="R2006" i="5"/>
  <c r="Q2006" i="5" s="1"/>
  <c r="R2007" i="5"/>
  <c r="Q2007" i="5" s="1"/>
  <c r="R2008" i="5"/>
  <c r="Q2008" i="5" s="1"/>
  <c r="R2009" i="5"/>
  <c r="Q2009" i="5" s="1"/>
  <c r="R2011" i="5"/>
  <c r="R2012" i="5"/>
  <c r="Q2012" i="5" s="1"/>
  <c r="R2013" i="5"/>
  <c r="Q2013" i="5" s="1"/>
  <c r="R2014" i="5"/>
  <c r="Q2014" i="5" s="1"/>
  <c r="R2015" i="5"/>
  <c r="Q2015" i="5" s="1"/>
  <c r="R2016" i="5"/>
  <c r="Q2016" i="5" s="1"/>
  <c r="R2017" i="5"/>
  <c r="Q2017" i="5" s="1"/>
  <c r="R2018" i="5"/>
  <c r="Q2018" i="5" s="1"/>
  <c r="R2020" i="5"/>
  <c r="R2021" i="5"/>
  <c r="Q2021" i="5" s="1"/>
  <c r="R2022" i="5"/>
  <c r="Q2022" i="5" s="1"/>
  <c r="R2023" i="5"/>
  <c r="Q2023" i="5" s="1"/>
  <c r="R2024" i="5"/>
  <c r="Q2024" i="5" s="1"/>
  <c r="R2025" i="5"/>
  <c r="Q2025" i="5" s="1"/>
  <c r="R2026" i="5"/>
  <c r="Q2026" i="5" s="1"/>
  <c r="R2027" i="5"/>
  <c r="Q2027" i="5" s="1"/>
  <c r="R2028" i="5"/>
  <c r="Q2028" i="5" s="1"/>
  <c r="R2029" i="5"/>
  <c r="Q2029" i="5" s="1"/>
  <c r="R2030" i="5"/>
  <c r="Q2030" i="5" s="1"/>
  <c r="R2031" i="5"/>
  <c r="Q2031" i="5" s="1"/>
  <c r="R2032" i="5"/>
  <c r="Q2032" i="5" s="1"/>
  <c r="R2033" i="5"/>
  <c r="Q2033" i="5" s="1"/>
  <c r="R2034" i="5"/>
  <c r="Q2034" i="5" s="1"/>
  <c r="R2035" i="5"/>
  <c r="Q2035" i="5" s="1"/>
  <c r="R2036" i="5"/>
  <c r="Q2036" i="5" s="1"/>
  <c r="R2037" i="5"/>
  <c r="Q2037" i="5" s="1"/>
  <c r="R2038" i="5"/>
  <c r="Q2038" i="5" s="1"/>
  <c r="R2039" i="5"/>
  <c r="Q2039" i="5" s="1"/>
  <c r="R2041" i="5"/>
  <c r="R2042" i="5"/>
  <c r="Q2042" i="5" s="1"/>
  <c r="R2043" i="5"/>
  <c r="Q2043" i="5" s="1"/>
  <c r="R2044" i="5"/>
  <c r="Q2044" i="5" s="1"/>
  <c r="R2045" i="5"/>
  <c r="Q2045" i="5" s="1"/>
  <c r="R2046" i="5"/>
  <c r="Q2046" i="5" s="1"/>
  <c r="R2047" i="5"/>
  <c r="Q2047" i="5" s="1"/>
  <c r="R2048" i="5"/>
  <c r="Q2048" i="5" s="1"/>
  <c r="R2049" i="5"/>
  <c r="Q2049" i="5" s="1"/>
  <c r="R2050" i="5"/>
  <c r="Q2050" i="5" s="1"/>
  <c r="R2051" i="5"/>
  <c r="Q2051" i="5" s="1"/>
  <c r="R2053" i="5"/>
  <c r="R2054" i="5"/>
  <c r="Q2054" i="5" s="1"/>
  <c r="R2055" i="5"/>
  <c r="Q2055" i="5" s="1"/>
  <c r="R2056" i="5"/>
  <c r="Q2056" i="5" s="1"/>
  <c r="R2057" i="5"/>
  <c r="Q2057" i="5" s="1"/>
  <c r="R2058" i="5"/>
  <c r="Q2058" i="5" s="1"/>
  <c r="R2059" i="5"/>
  <c r="Q2059" i="5" s="1"/>
  <c r="R2060" i="5"/>
  <c r="Q2060" i="5" s="1"/>
  <c r="R2061" i="5"/>
  <c r="Q2061" i="5" s="1"/>
  <c r="R2062" i="5"/>
  <c r="Q2062" i="5" s="1"/>
  <c r="R2063" i="5"/>
  <c r="Q2063" i="5" s="1"/>
  <c r="R2064" i="5"/>
  <c r="Q2064" i="5" s="1"/>
  <c r="R2065" i="5"/>
  <c r="Q2065" i="5" s="1"/>
  <c r="R2066" i="5"/>
  <c r="Q2066" i="5" s="1"/>
  <c r="R2068" i="5"/>
  <c r="R2069" i="5"/>
  <c r="Q2069" i="5" s="1"/>
  <c r="R2070" i="5"/>
  <c r="Q2070" i="5" s="1"/>
  <c r="R2071" i="5"/>
  <c r="Q2071" i="5" s="1"/>
  <c r="R2072" i="5"/>
  <c r="Q2072" i="5" s="1"/>
  <c r="R2073" i="5"/>
  <c r="Q2073" i="5" s="1"/>
  <c r="R2074" i="5"/>
  <c r="Q2074" i="5" s="1"/>
  <c r="R2075" i="5"/>
  <c r="Q2075" i="5" s="1"/>
  <c r="R2076" i="5"/>
  <c r="Q2076" i="5" s="1"/>
  <c r="R2077" i="5"/>
  <c r="Q2077" i="5" s="1"/>
  <c r="R2078" i="5"/>
  <c r="Q2078" i="5" s="1"/>
  <c r="R2079" i="5"/>
  <c r="Q2079" i="5" s="1"/>
  <c r="R2080" i="5"/>
  <c r="Q2080" i="5" s="1"/>
  <c r="R2081" i="5"/>
  <c r="Q2081" i="5" s="1"/>
  <c r="R2082" i="5"/>
  <c r="Q2082" i="5" s="1"/>
  <c r="R2083" i="5"/>
  <c r="Q2083" i="5" s="1"/>
  <c r="R2084" i="5"/>
  <c r="Q2084" i="5" s="1"/>
  <c r="R2085" i="5"/>
  <c r="Q2085" i="5" s="1"/>
  <c r="R56" i="5"/>
  <c r="R6" i="5"/>
  <c r="Q6" i="5" s="1"/>
  <c r="R7" i="5"/>
  <c r="Q7" i="5" s="1"/>
  <c r="R8" i="5"/>
  <c r="Q8" i="5" s="1"/>
  <c r="R9" i="5"/>
  <c r="Q9" i="5" s="1"/>
  <c r="R10" i="5"/>
  <c r="Q10" i="5" s="1"/>
  <c r="R11" i="5"/>
  <c r="Q11" i="5" s="1"/>
  <c r="R12" i="5"/>
  <c r="Q12" i="5" s="1"/>
  <c r="R13" i="5"/>
  <c r="Q13" i="5" s="1"/>
  <c r="R14" i="5"/>
  <c r="Q14" i="5" s="1"/>
  <c r="R15" i="5"/>
  <c r="Q15" i="5" s="1"/>
  <c r="R16" i="5"/>
  <c r="Q16" i="5" s="1"/>
  <c r="R17" i="5"/>
  <c r="Q17" i="5" s="1"/>
  <c r="R18" i="5"/>
  <c r="Q18" i="5" s="1"/>
  <c r="R19" i="5"/>
  <c r="Q19" i="5" s="1"/>
  <c r="R20" i="5"/>
  <c r="Q20" i="5" s="1"/>
  <c r="R21" i="5"/>
  <c r="Q21" i="5" s="1"/>
  <c r="R22" i="5"/>
  <c r="Q22" i="5" s="1"/>
  <c r="R23" i="5"/>
  <c r="Q23" i="5" s="1"/>
  <c r="R24" i="5"/>
  <c r="Q24" i="5" s="1"/>
  <c r="R25" i="5"/>
  <c r="Q25" i="5" s="1"/>
  <c r="R26" i="5"/>
  <c r="Q26" i="5" s="1"/>
  <c r="R27" i="5"/>
  <c r="Q27" i="5" s="1"/>
  <c r="R28" i="5"/>
  <c r="Q28" i="5" s="1"/>
  <c r="R29" i="5"/>
  <c r="Q29" i="5" s="1"/>
  <c r="R30" i="5"/>
  <c r="Q30" i="5" s="1"/>
  <c r="R31" i="5"/>
  <c r="Q31" i="5" s="1"/>
  <c r="R32" i="5"/>
  <c r="Q32" i="5" s="1"/>
  <c r="R33" i="5"/>
  <c r="Q33" i="5" s="1"/>
  <c r="R34" i="5"/>
  <c r="Q34" i="5" s="1"/>
  <c r="R35" i="5"/>
  <c r="Q35" i="5" s="1"/>
  <c r="R36" i="5"/>
  <c r="Q36" i="5" s="1"/>
  <c r="R37" i="5"/>
  <c r="Q37" i="5" s="1"/>
  <c r="R38" i="5"/>
  <c r="Q38" i="5" s="1"/>
  <c r="R39" i="5"/>
  <c r="Q39" i="5" s="1"/>
  <c r="R40" i="5"/>
  <c r="Q40" i="5" s="1"/>
  <c r="R41" i="5"/>
  <c r="Q41" i="5" s="1"/>
  <c r="R42" i="5"/>
  <c r="Q42" i="5" s="1"/>
  <c r="R43" i="5"/>
  <c r="Q43" i="5" s="1"/>
  <c r="R44" i="5"/>
  <c r="Q44" i="5" s="1"/>
  <c r="R45" i="5"/>
  <c r="Q45" i="5" s="1"/>
  <c r="R46" i="5"/>
  <c r="Q46" i="5" s="1"/>
  <c r="R47" i="5"/>
  <c r="Q47" i="5" s="1"/>
  <c r="R48" i="5"/>
  <c r="Q48" i="5" s="1"/>
  <c r="R49" i="5"/>
  <c r="Q49" i="5" s="1"/>
  <c r="R50" i="5"/>
  <c r="Q50" i="5" s="1"/>
  <c r="R51" i="5"/>
  <c r="Q51" i="5" s="1"/>
  <c r="R52" i="5"/>
  <c r="Q52" i="5" s="1"/>
  <c r="R53" i="5"/>
  <c r="Q53" i="5" s="1"/>
  <c r="R54" i="5"/>
  <c r="Q54" i="5" s="1"/>
  <c r="R5" i="5"/>
  <c r="Q2041" i="5" l="1"/>
  <c r="Q2052" i="5" s="1"/>
  <c r="R2052" i="5"/>
  <c r="Q2020" i="5"/>
  <c r="Q2040" i="5" s="1"/>
  <c r="R2040" i="5"/>
  <c r="Q2011" i="5"/>
  <c r="Q2019" i="5" s="1"/>
  <c r="R2019" i="5"/>
  <c r="Q1984" i="5"/>
  <c r="Q2010" i="5" s="1"/>
  <c r="R2010" i="5"/>
  <c r="Q1950" i="5"/>
  <c r="Q1951" i="5" s="1"/>
  <c r="R1951" i="5"/>
  <c r="Q1939" i="5"/>
  <c r="Q1949" i="5" s="1"/>
  <c r="R1949" i="5"/>
  <c r="Q1925" i="5"/>
  <c r="Q1936" i="5" s="1"/>
  <c r="R1936" i="5"/>
  <c r="Q1826" i="5"/>
  <c r="Q1924" i="5" s="1"/>
  <c r="R1924" i="5"/>
  <c r="Q1823" i="5"/>
  <c r="Q1825" i="5" s="1"/>
  <c r="R1825" i="5"/>
  <c r="Q1820" i="5"/>
  <c r="Q1822" i="5" s="1"/>
  <c r="R1822" i="5"/>
  <c r="Q1810" i="5"/>
  <c r="Q1813" i="5" s="1"/>
  <c r="R1813" i="5"/>
  <c r="Q1805" i="5"/>
  <c r="Q1809" i="5" s="1"/>
  <c r="R1809" i="5"/>
  <c r="Q1798" i="5"/>
  <c r="Q1799" i="5" s="1"/>
  <c r="R1799" i="5"/>
  <c r="Q1778" i="5"/>
  <c r="Q1785" i="5" s="1"/>
  <c r="R1785" i="5"/>
  <c r="Q1756" i="5"/>
  <c r="Q1767" i="5" s="1"/>
  <c r="R1767" i="5"/>
  <c r="Q1744" i="5"/>
  <c r="Q1747" i="5" s="1"/>
  <c r="R1747" i="5"/>
  <c r="Q1729" i="5"/>
  <c r="Q1743" i="5" s="1"/>
  <c r="R1743" i="5"/>
  <c r="Q1722" i="5"/>
  <c r="Q1728" i="5" s="1"/>
  <c r="R1728" i="5"/>
  <c r="Q1715" i="5"/>
  <c r="Q1721" i="5" s="1"/>
  <c r="R1721" i="5"/>
  <c r="Q1680" i="5"/>
  <c r="Q1709" i="5" s="1"/>
  <c r="R1709" i="5"/>
  <c r="Q1604" i="5"/>
  <c r="Q1671" i="5" s="1"/>
  <c r="R1671" i="5"/>
  <c r="Q1598" i="5"/>
  <c r="Q1599" i="5" s="1"/>
  <c r="R1599" i="5"/>
  <c r="Q1583" i="5"/>
  <c r="Q1588" i="5" s="1"/>
  <c r="R1588" i="5"/>
  <c r="Q1580" i="5"/>
  <c r="Q1582" i="5" s="1"/>
  <c r="R1582" i="5"/>
  <c r="Q1572" i="5"/>
  <c r="Q1573" i="5" s="1"/>
  <c r="R1573" i="5"/>
  <c r="Q1561" i="5"/>
  <c r="Q1571" i="5" s="1"/>
  <c r="R1571" i="5"/>
  <c r="Q1552" i="5"/>
  <c r="Q1560" i="5" s="1"/>
  <c r="R1560" i="5"/>
  <c r="Q1549" i="5"/>
  <c r="R1551" i="5"/>
  <c r="S1551" i="5" s="1"/>
  <c r="Q1493" i="5"/>
  <c r="Q1498" i="5" s="1"/>
  <c r="R1498" i="5"/>
  <c r="Q1408" i="5"/>
  <c r="Q1451" i="5" s="1"/>
  <c r="R1451" i="5"/>
  <c r="Q1401" i="5"/>
  <c r="Q1407" i="5" s="1"/>
  <c r="R1407" i="5"/>
  <c r="S1407" i="5" s="1"/>
  <c r="Q1398" i="5"/>
  <c r="Q1400" i="5" s="1"/>
  <c r="R1400" i="5"/>
  <c r="Q1386" i="5"/>
  <c r="Q1387" i="5" s="1"/>
  <c r="R1387" i="5"/>
  <c r="Q1378" i="5"/>
  <c r="Q1381" i="5" s="1"/>
  <c r="R1381" i="5"/>
  <c r="R1377" i="5"/>
  <c r="Q1347" i="5"/>
  <c r="Q1352" i="5" s="1"/>
  <c r="R1352" i="5"/>
  <c r="Q1337" i="5"/>
  <c r="Q1340" i="5" s="1"/>
  <c r="R1340" i="5"/>
  <c r="Q1334" i="5"/>
  <c r="Q1336" i="5" s="1"/>
  <c r="R1336" i="5"/>
  <c r="Q1282" i="5"/>
  <c r="Q1327" i="5" s="1"/>
  <c r="R1327" i="5"/>
  <c r="Q1218" i="5"/>
  <c r="Q1225" i="5" s="1"/>
  <c r="R1225" i="5"/>
  <c r="Q1215" i="5"/>
  <c r="Q1217" i="5" s="1"/>
  <c r="R1217" i="5"/>
  <c r="R1148" i="5"/>
  <c r="Q1054" i="5"/>
  <c r="Q1061" i="5" s="1"/>
  <c r="R1061" i="5"/>
  <c r="Q1025" i="5"/>
  <c r="Q1030" i="5" s="1"/>
  <c r="R1030" i="5"/>
  <c r="Q1010" i="5"/>
  <c r="Q1011" i="5" s="1"/>
  <c r="R1011" i="5"/>
  <c r="R55" i="5"/>
  <c r="Q56" i="5"/>
  <c r="Q62" i="5" s="1"/>
  <c r="R62" i="5"/>
  <c r="Q2068" i="5"/>
  <c r="Q2086" i="5" s="1"/>
  <c r="R2086" i="5"/>
  <c r="Q2053" i="5"/>
  <c r="Q2067" i="5" s="1"/>
  <c r="R2067" i="5"/>
  <c r="Q1952" i="5"/>
  <c r="Q1983" i="5" s="1"/>
  <c r="R1983" i="5"/>
  <c r="Q1937" i="5"/>
  <c r="Q1938" i="5" s="1"/>
  <c r="R1938" i="5"/>
  <c r="Q1814" i="5"/>
  <c r="Q1819" i="5" s="1"/>
  <c r="R1819" i="5"/>
  <c r="Q1800" i="5"/>
  <c r="Q1802" i="5" s="1"/>
  <c r="R1802" i="5"/>
  <c r="Q1786" i="5"/>
  <c r="Q1797" i="5" s="1"/>
  <c r="R1797" i="5"/>
  <c r="Q1774" i="5"/>
  <c r="Q1777" i="5" s="1"/>
  <c r="R1777" i="5"/>
  <c r="Q1771" i="5"/>
  <c r="Q1773" i="5" s="1"/>
  <c r="R1773" i="5"/>
  <c r="Q1768" i="5"/>
  <c r="Q1770" i="5" s="1"/>
  <c r="R1770" i="5"/>
  <c r="Q1748" i="5"/>
  <c r="Q1755" i="5" s="1"/>
  <c r="R1755" i="5"/>
  <c r="Q1713" i="5"/>
  <c r="Q1714" i="5" s="1"/>
  <c r="R1714" i="5"/>
  <c r="Q1710" i="5"/>
  <c r="Q1712" i="5" s="1"/>
  <c r="R1712" i="5"/>
  <c r="Q1672" i="5"/>
  <c r="Q1679" i="5" s="1"/>
  <c r="R1679" i="5"/>
  <c r="Q1600" i="5"/>
  <c r="Q1603" i="5" s="1"/>
  <c r="R1603" i="5"/>
  <c r="Q1596" i="5"/>
  <c r="Q1597" i="5" s="1"/>
  <c r="R1597" i="5"/>
  <c r="Q1589" i="5"/>
  <c r="Q1595" i="5" s="1"/>
  <c r="R1595" i="5"/>
  <c r="Q1574" i="5"/>
  <c r="Q1579" i="5" s="1"/>
  <c r="R1579" i="5"/>
  <c r="Q1541" i="5"/>
  <c r="Q1548" i="5" s="1"/>
  <c r="R1548" i="5"/>
  <c r="Q1526" i="5"/>
  <c r="Q1540" i="5" s="1"/>
  <c r="R1540" i="5"/>
  <c r="Q1511" i="5"/>
  <c r="Q1525" i="5" s="1"/>
  <c r="R1525" i="5"/>
  <c r="Q1506" i="5"/>
  <c r="Q1510" i="5" s="1"/>
  <c r="R1510" i="5"/>
  <c r="R1505" i="5"/>
  <c r="Q1481" i="5"/>
  <c r="Q1492" i="5" s="1"/>
  <c r="R1492" i="5"/>
  <c r="Q1472" i="5"/>
  <c r="Q1480" i="5" s="1"/>
  <c r="R1480" i="5"/>
  <c r="Q1461" i="5"/>
  <c r="Q1471" i="5" s="1"/>
  <c r="R1471" i="5"/>
  <c r="Q1458" i="5"/>
  <c r="Q1460" i="5" s="1"/>
  <c r="R1460" i="5"/>
  <c r="Q1455" i="5"/>
  <c r="Q1457" i="5" s="1"/>
  <c r="R1457" i="5"/>
  <c r="Q1452" i="5"/>
  <c r="Q1454" i="5" s="1"/>
  <c r="R1454" i="5"/>
  <c r="Q1388" i="5"/>
  <c r="Q1397" i="5" s="1"/>
  <c r="R1397" i="5"/>
  <c r="Q1382" i="5"/>
  <c r="Q1385" i="5" s="1"/>
  <c r="R1385" i="5"/>
  <c r="Q1353" i="5"/>
  <c r="Q1370" i="5" s="1"/>
  <c r="R1370" i="5"/>
  <c r="Q1341" i="5"/>
  <c r="Q1346" i="5" s="1"/>
  <c r="R1346" i="5"/>
  <c r="Q1328" i="5"/>
  <c r="Q1333" i="5" s="1"/>
  <c r="R1333" i="5"/>
  <c r="Q1226" i="5"/>
  <c r="Q1281" i="5" s="1"/>
  <c r="R1281" i="5"/>
  <c r="Q1193" i="5"/>
  <c r="Q1214" i="5" s="1"/>
  <c r="R1214" i="5"/>
  <c r="Q1172" i="5"/>
  <c r="Q1192" i="5" s="1"/>
  <c r="R1192" i="5"/>
  <c r="Q1149" i="5"/>
  <c r="Q1171" i="5" s="1"/>
  <c r="R1171" i="5"/>
  <c r="Q1071" i="5"/>
  <c r="Q1074" i="5" s="1"/>
  <c r="R1074" i="5"/>
  <c r="Q1062" i="5"/>
  <c r="Q1070" i="5" s="1"/>
  <c r="R1070" i="5"/>
  <c r="Q1044" i="5"/>
  <c r="Q1053" i="5" s="1"/>
  <c r="R1053" i="5"/>
  <c r="Q1031" i="5"/>
  <c r="Q1043" i="5" s="1"/>
  <c r="R1043" i="5"/>
  <c r="Q1019" i="5"/>
  <c r="Q1024" i="5" s="1"/>
  <c r="R1024" i="5"/>
  <c r="Q1012" i="5"/>
  <c r="Q1018" i="5" s="1"/>
  <c r="R1018" i="5"/>
  <c r="Q1008" i="5"/>
  <c r="Q1009" i="5" s="1"/>
  <c r="R1009" i="5"/>
  <c r="Q907" i="5"/>
  <c r="Q1007" i="5" s="1"/>
  <c r="R1007" i="5"/>
  <c r="Q784" i="5"/>
  <c r="Q906" i="5" s="1"/>
  <c r="R906" i="5"/>
  <c r="Q513" i="5"/>
  <c r="Q538" i="5" s="1"/>
  <c r="R538" i="5"/>
  <c r="Q507" i="5"/>
  <c r="Q508" i="5" s="1"/>
  <c r="R508" i="5"/>
  <c r="Q500" i="5"/>
  <c r="Q506" i="5" s="1"/>
  <c r="R506" i="5"/>
  <c r="Q479" i="5"/>
  <c r="Q499" i="5" s="1"/>
  <c r="R499" i="5"/>
  <c r="Q385" i="5"/>
  <c r="Q476" i="5" s="1"/>
  <c r="R476" i="5"/>
  <c r="Q351" i="5"/>
  <c r="Q360" i="5" s="1"/>
  <c r="R360" i="5"/>
  <c r="Q329" i="5"/>
  <c r="Q332" i="5" s="1"/>
  <c r="R332" i="5"/>
  <c r="Q180" i="5"/>
  <c r="Q275" i="5" s="1"/>
  <c r="R275" i="5"/>
  <c r="Q170" i="5"/>
  <c r="Q173" i="5" s="1"/>
  <c r="R173" i="5"/>
  <c r="Q151" i="5"/>
  <c r="Q169" i="5" s="1"/>
  <c r="R169" i="5"/>
  <c r="Q128" i="5"/>
  <c r="Q137" i="5" s="1"/>
  <c r="R137" i="5"/>
  <c r="Q122" i="5"/>
  <c r="Q125" i="5" s="1"/>
  <c r="R125" i="5"/>
  <c r="Q115" i="5"/>
  <c r="Q121" i="5" s="1"/>
  <c r="R121" i="5"/>
  <c r="Q67" i="5"/>
  <c r="Q86" i="5" s="1"/>
  <c r="R86" i="5"/>
  <c r="Q1803" i="5"/>
  <c r="Q1804" i="5" s="1"/>
  <c r="Q1075" i="5"/>
  <c r="Q1148" i="5" s="1"/>
  <c r="Q694" i="5"/>
  <c r="Q783" i="5" s="1"/>
  <c r="R783" i="5"/>
  <c r="Q559" i="5"/>
  <c r="Q693" i="5" s="1"/>
  <c r="R693" i="5"/>
  <c r="S693" i="5" s="1"/>
  <c r="Q550" i="5"/>
  <c r="Q558" i="5" s="1"/>
  <c r="R558" i="5"/>
  <c r="Q546" i="5"/>
  <c r="R549" i="5"/>
  <c r="Q539" i="5"/>
  <c r="Q545" i="5" s="1"/>
  <c r="R545" i="5"/>
  <c r="Q509" i="5"/>
  <c r="Q512" i="5" s="1"/>
  <c r="R512" i="5"/>
  <c r="Q477" i="5"/>
  <c r="Q478" i="5" s="1"/>
  <c r="R478" i="5"/>
  <c r="Q361" i="5"/>
  <c r="Q384" i="5" s="1"/>
  <c r="R384" i="5"/>
  <c r="Q345" i="5"/>
  <c r="Q350" i="5" s="1"/>
  <c r="R350" i="5"/>
  <c r="Q340" i="5"/>
  <c r="Q344" i="5" s="1"/>
  <c r="R344" i="5"/>
  <c r="Q333" i="5"/>
  <c r="Q339" i="5" s="1"/>
  <c r="R339" i="5"/>
  <c r="Q276" i="5"/>
  <c r="Q328" i="5" s="1"/>
  <c r="R328" i="5"/>
  <c r="Q174" i="5"/>
  <c r="Q179" i="5" s="1"/>
  <c r="R179" i="5"/>
  <c r="Q141" i="5"/>
  <c r="Q150" i="5" s="1"/>
  <c r="R150" i="5"/>
  <c r="Q138" i="5"/>
  <c r="Q140" i="5" s="1"/>
  <c r="R140" i="5"/>
  <c r="Q126" i="5"/>
  <c r="Q127" i="5" s="1"/>
  <c r="R127" i="5"/>
  <c r="Q87" i="5"/>
  <c r="Q114" i="5" s="1"/>
  <c r="R114" i="5"/>
  <c r="Q63" i="5"/>
  <c r="Q66" i="5" s="1"/>
  <c r="R66" i="5"/>
  <c r="Q5" i="5"/>
  <c r="Q55" i="5" s="1"/>
  <c r="Q1499" i="5"/>
  <c r="Q1505" i="5" s="1"/>
  <c r="Q1371" i="5"/>
  <c r="Q1377" i="5" s="1"/>
  <c r="S1381" i="5"/>
  <c r="P55" i="5" l="1"/>
  <c r="P127" i="5" l="1"/>
  <c r="P173" i="5"/>
  <c r="P179" i="5"/>
  <c r="P275" i="5"/>
  <c r="P328" i="5"/>
  <c r="P332" i="5"/>
  <c r="P339" i="5"/>
  <c r="P344" i="5"/>
  <c r="P350" i="5"/>
  <c r="P360" i="5"/>
  <c r="P384" i="5"/>
  <c r="P476" i="5"/>
  <c r="P478" i="5"/>
  <c r="P499" i="5"/>
  <c r="P506" i="5"/>
  <c r="P508" i="5"/>
  <c r="P512" i="5"/>
  <c r="P538" i="5"/>
  <c r="P545" i="5"/>
  <c r="P549" i="5"/>
  <c r="P558" i="5"/>
  <c r="P693" i="5"/>
  <c r="P783" i="5"/>
  <c r="P906" i="5"/>
  <c r="P1007" i="5"/>
  <c r="P1009" i="5"/>
  <c r="P1011" i="5"/>
  <c r="P1018" i="5"/>
  <c r="P1024" i="5"/>
  <c r="P1030" i="5"/>
  <c r="P1043" i="5"/>
  <c r="P1053" i="5"/>
  <c r="P1061" i="5"/>
  <c r="P1070" i="5"/>
  <c r="P1074" i="5"/>
  <c r="P1148" i="5"/>
  <c r="P1171" i="5"/>
  <c r="P1192" i="5"/>
  <c r="P1214" i="5"/>
  <c r="P1217" i="5"/>
  <c r="P1225" i="5"/>
  <c r="P1281" i="5"/>
  <c r="P1327" i="5"/>
  <c r="P1333" i="5"/>
  <c r="P1336" i="5"/>
  <c r="P1340" i="5"/>
  <c r="P1346" i="5"/>
  <c r="P1352" i="5"/>
  <c r="P1370" i="5"/>
  <c r="P1377" i="5"/>
  <c r="P1385" i="5"/>
  <c r="P1387" i="5"/>
  <c r="P1397" i="5"/>
  <c r="P1400" i="5"/>
  <c r="P1407" i="5"/>
  <c r="P1451" i="5"/>
  <c r="P1454" i="5"/>
  <c r="P1457" i="5"/>
  <c r="P1460" i="5"/>
  <c r="P1471" i="5"/>
  <c r="P1480" i="5"/>
  <c r="P1492" i="5"/>
  <c r="P1498" i="5"/>
  <c r="P1505" i="5"/>
  <c r="P1510" i="5"/>
  <c r="P1525" i="5"/>
  <c r="P1540" i="5"/>
  <c r="P1548" i="5"/>
  <c r="P1551" i="5"/>
  <c r="Q1551" i="5" s="1"/>
  <c r="P1560" i="5"/>
  <c r="P1571" i="5"/>
  <c r="P1573" i="5"/>
  <c r="P1579" i="5"/>
  <c r="P1582" i="5"/>
  <c r="P1588" i="5"/>
  <c r="P1595" i="5"/>
  <c r="P1597" i="5"/>
  <c r="P1599" i="5"/>
  <c r="P1603" i="5"/>
  <c r="P1671" i="5"/>
  <c r="P1679" i="5"/>
  <c r="P1709" i="5"/>
  <c r="P1712" i="5"/>
  <c r="P1714" i="5"/>
  <c r="P1721" i="5"/>
  <c r="P1728" i="5"/>
  <c r="P1743" i="5"/>
  <c r="P1747" i="5"/>
  <c r="P1755" i="5"/>
  <c r="P1767" i="5"/>
  <c r="P1770" i="5"/>
  <c r="P1773" i="5"/>
  <c r="P1777" i="5"/>
  <c r="P1785" i="5"/>
  <c r="P1797" i="5"/>
  <c r="P1799" i="5"/>
  <c r="P1802" i="5"/>
  <c r="P1804" i="5"/>
  <c r="P1809" i="5"/>
  <c r="P1813" i="5"/>
  <c r="P1819" i="5"/>
  <c r="P1822" i="5"/>
  <c r="S1819" i="5" l="1"/>
  <c r="S1809" i="5"/>
  <c r="S1802" i="5"/>
  <c r="S1797" i="5"/>
  <c r="S1777" i="5"/>
  <c r="S1770" i="5"/>
  <c r="S1755" i="5"/>
  <c r="S1743" i="5"/>
  <c r="S1721" i="5"/>
  <c r="S1712" i="5"/>
  <c r="S1679" i="5"/>
  <c r="S1603" i="5"/>
  <c r="S1597" i="5"/>
  <c r="S1588" i="5"/>
  <c r="S1579" i="5"/>
  <c r="S1571" i="5"/>
  <c r="S1540" i="5"/>
  <c r="S1510" i="5"/>
  <c r="S1498" i="5"/>
  <c r="S1480" i="5"/>
  <c r="S1460" i="5"/>
  <c r="S1454" i="5"/>
  <c r="S1397" i="5"/>
  <c r="S1385" i="5"/>
  <c r="S1370" i="5"/>
  <c r="S1346" i="5"/>
  <c r="S1336" i="5"/>
  <c r="S1327" i="5"/>
  <c r="S1225" i="5"/>
  <c r="S1214" i="5"/>
  <c r="S1171" i="5"/>
  <c r="S1074" i="5"/>
  <c r="S1061" i="5"/>
  <c r="S1043" i="5"/>
  <c r="S1024" i="5"/>
  <c r="S1011" i="5"/>
  <c r="S1007" i="5"/>
  <c r="S783" i="5"/>
  <c r="S558" i="5"/>
  <c r="S545" i="5"/>
  <c r="S512" i="5"/>
  <c r="S506" i="5"/>
  <c r="S478" i="5"/>
  <c r="S384" i="5"/>
  <c r="S350" i="5"/>
  <c r="S339" i="5"/>
  <c r="S328" i="5"/>
  <c r="S179" i="5"/>
  <c r="S127" i="5"/>
  <c r="S1822" i="5"/>
  <c r="S1813" i="5"/>
  <c r="S1804" i="5"/>
  <c r="S1799" i="5"/>
  <c r="S1785" i="5"/>
  <c r="S1773" i="5"/>
  <c r="S1767" i="5"/>
  <c r="S1747" i="5"/>
  <c r="S1728" i="5"/>
  <c r="S1714" i="5"/>
  <c r="S1709" i="5"/>
  <c r="S1671" i="5"/>
  <c r="S1599" i="5"/>
  <c r="S1595" i="5"/>
  <c r="S1582" i="5"/>
  <c r="S1573" i="5"/>
  <c r="S1560" i="5"/>
  <c r="S1548" i="5"/>
  <c r="S1525" i="5"/>
  <c r="S1505" i="5"/>
  <c r="S1492" i="5"/>
  <c r="S1471" i="5"/>
  <c r="S1457" i="5"/>
  <c r="S1451" i="5"/>
  <c r="S1400" i="5"/>
  <c r="S1387" i="5"/>
  <c r="S1377" i="5"/>
  <c r="S1352" i="5"/>
  <c r="S1340" i="5"/>
  <c r="S1333" i="5"/>
  <c r="S1281" i="5"/>
  <c r="S1217" i="5"/>
  <c r="S1192" i="5"/>
  <c r="S1148" i="5"/>
  <c r="S1070" i="5"/>
  <c r="S1053" i="5"/>
  <c r="S1030" i="5"/>
  <c r="S1018" i="5"/>
  <c r="S1009" i="5"/>
  <c r="S906" i="5"/>
  <c r="Q549" i="5"/>
  <c r="S549" i="5"/>
  <c r="S538" i="5"/>
  <c r="S508" i="5"/>
  <c r="S499" i="5"/>
  <c r="S476" i="5"/>
  <c r="S360" i="5"/>
  <c r="S344" i="5"/>
  <c r="S332" i="5"/>
  <c r="S275" i="5"/>
  <c r="S173" i="5"/>
  <c r="S55" i="5"/>
  <c r="P1825" i="5"/>
  <c r="P1924" i="5"/>
  <c r="P1936" i="5"/>
  <c r="P1938" i="5"/>
  <c r="P1949" i="5"/>
  <c r="P1951" i="5"/>
  <c r="P1983" i="5"/>
  <c r="P2010" i="5"/>
  <c r="P2019" i="5"/>
  <c r="P2040" i="5"/>
  <c r="P2052" i="5"/>
  <c r="P2067" i="5"/>
  <c r="P2086" i="5"/>
  <c r="P169" i="5"/>
  <c r="P150" i="5"/>
  <c r="P140" i="5"/>
  <c r="P137" i="5"/>
  <c r="P125" i="5"/>
  <c r="P121" i="5"/>
  <c r="P114" i="5"/>
  <c r="P86" i="5"/>
  <c r="P66" i="5"/>
  <c r="P62" i="5"/>
  <c r="S62" i="5" l="1"/>
  <c r="S66" i="5"/>
  <c r="S86" i="5"/>
  <c r="S114" i="5"/>
  <c r="S137" i="5"/>
  <c r="S169" i="5"/>
  <c r="S2086" i="5"/>
  <c r="S2052" i="5"/>
  <c r="S2019" i="5"/>
  <c r="S1983" i="5"/>
  <c r="S1949" i="5"/>
  <c r="S1936" i="5"/>
  <c r="S1825" i="5"/>
  <c r="R2087" i="5"/>
  <c r="S121" i="5"/>
  <c r="S125" i="5"/>
  <c r="S140" i="5"/>
  <c r="S150" i="5"/>
  <c r="S2067" i="5"/>
  <c r="S2040" i="5"/>
  <c r="S2010" i="5"/>
  <c r="S1951" i="5"/>
  <c r="S1938" i="5"/>
  <c r="S1924" i="5"/>
  <c r="P2087" i="5"/>
  <c r="Q2087" i="5" l="1"/>
  <c r="F1570" i="5" l="1"/>
  <c r="O1570" i="5"/>
  <c r="F1632" i="5"/>
  <c r="O1632" i="5"/>
  <c r="F259" i="5" l="1"/>
  <c r="O2067" i="5" l="1"/>
  <c r="O2086" i="5"/>
  <c r="O2052" i="5"/>
  <c r="N2081" i="5"/>
  <c r="N2080" i="5"/>
  <c r="N2058" i="5"/>
  <c r="O2040" i="5" l="1"/>
  <c r="O2019" i="5"/>
  <c r="O2010" i="5"/>
  <c r="O1983" i="5"/>
  <c r="O55" i="5"/>
  <c r="N54" i="5"/>
  <c r="N53" i="5"/>
  <c r="N52" i="5"/>
  <c r="N51" i="5"/>
  <c r="N50" i="5"/>
  <c r="N49" i="5"/>
  <c r="N48" i="5"/>
  <c r="N47" i="5"/>
  <c r="N46" i="5"/>
  <c r="N45" i="5"/>
  <c r="N44" i="5"/>
  <c r="N43" i="5"/>
  <c r="N42" i="5"/>
  <c r="N41" i="5"/>
  <c r="N40" i="5"/>
  <c r="N39" i="5"/>
  <c r="N38" i="5"/>
  <c r="N37" i="5"/>
  <c r="N36" i="5"/>
  <c r="N35" i="5"/>
  <c r="N34" i="5"/>
  <c r="N33" i="5"/>
  <c r="N32" i="5"/>
  <c r="N31" i="5"/>
  <c r="N30" i="5"/>
  <c r="N29" i="5"/>
  <c r="N28" i="5"/>
  <c r="N27" i="5"/>
  <c r="N26" i="5"/>
  <c r="N25" i="5"/>
  <c r="N24" i="5"/>
  <c r="N23" i="5"/>
  <c r="N22" i="5"/>
  <c r="N21" i="5"/>
  <c r="N20" i="5"/>
  <c r="N19" i="5"/>
  <c r="N18" i="5"/>
  <c r="N17" i="5"/>
  <c r="N16" i="5"/>
  <c r="N15" i="5"/>
  <c r="N14" i="5"/>
  <c r="N13" i="5"/>
  <c r="N12" i="5"/>
  <c r="N11" i="5"/>
  <c r="N10" i="5"/>
  <c r="N9" i="5"/>
  <c r="N8" i="5"/>
  <c r="N7" i="5"/>
  <c r="N6" i="5"/>
  <c r="N5" i="5"/>
  <c r="N63" i="5"/>
  <c r="M63" i="5"/>
  <c r="N1985" i="5" l="1"/>
  <c r="N1986" i="5"/>
  <c r="N1987" i="5"/>
  <c r="N1988" i="5"/>
  <c r="N1989" i="5"/>
  <c r="N1990" i="5"/>
  <c r="N1991" i="5"/>
  <c r="N1992" i="5"/>
  <c r="N1993" i="5"/>
  <c r="N1994" i="5"/>
  <c r="N1995" i="5"/>
  <c r="N1996" i="5"/>
  <c r="N1997" i="5"/>
  <c r="N1998" i="5"/>
  <c r="N1999" i="5"/>
  <c r="N2000" i="5"/>
  <c r="N2001" i="5"/>
  <c r="N2002" i="5"/>
  <c r="N2003" i="5"/>
  <c r="N2004" i="5"/>
  <c r="N2005" i="5"/>
  <c r="N2006" i="5"/>
  <c r="N2007" i="5"/>
  <c r="N2008" i="5"/>
  <c r="N2009" i="5"/>
  <c r="N2011" i="5"/>
  <c r="N2012" i="5"/>
  <c r="N2013" i="5"/>
  <c r="N2014" i="5"/>
  <c r="N2015" i="5"/>
  <c r="N2016" i="5"/>
  <c r="N2017" i="5"/>
  <c r="N2018" i="5"/>
  <c r="N2020" i="5"/>
  <c r="N2021" i="5"/>
  <c r="N2022" i="5"/>
  <c r="N2023" i="5"/>
  <c r="N2024" i="5"/>
  <c r="N2025" i="5"/>
  <c r="N2026" i="5"/>
  <c r="N2027" i="5"/>
  <c r="N2028" i="5"/>
  <c r="N2029" i="5"/>
  <c r="N2030" i="5"/>
  <c r="N2031" i="5"/>
  <c r="N2032" i="5"/>
  <c r="N2033" i="5"/>
  <c r="N2034" i="5"/>
  <c r="N2035" i="5"/>
  <c r="N2036" i="5"/>
  <c r="N2037" i="5"/>
  <c r="N2038" i="5"/>
  <c r="N2039" i="5"/>
  <c r="N2041" i="5"/>
  <c r="N2042" i="5"/>
  <c r="N2043" i="5"/>
  <c r="N2044" i="5"/>
  <c r="N2045" i="5"/>
  <c r="N2046" i="5"/>
  <c r="N2047" i="5"/>
  <c r="N2048" i="5"/>
  <c r="N2049" i="5"/>
  <c r="N2050" i="5"/>
  <c r="N2051" i="5"/>
  <c r="N1984" i="5"/>
  <c r="N1952" i="5"/>
  <c r="N1953" i="5"/>
  <c r="N1954" i="5"/>
  <c r="N1955" i="5"/>
  <c r="N1956" i="5"/>
  <c r="N1957" i="5"/>
  <c r="N1958" i="5"/>
  <c r="N1959" i="5"/>
  <c r="N1960" i="5"/>
  <c r="N1961" i="5"/>
  <c r="N1962" i="5"/>
  <c r="N1963" i="5"/>
  <c r="N1964" i="5"/>
  <c r="N1965" i="5"/>
  <c r="N1966" i="5"/>
  <c r="N1967" i="5"/>
  <c r="N1968" i="5"/>
  <c r="N1969" i="5"/>
  <c r="N1970" i="5"/>
  <c r="N1971" i="5"/>
  <c r="N1972" i="5"/>
  <c r="N1973" i="5"/>
  <c r="N1974" i="5"/>
  <c r="N1975" i="5"/>
  <c r="N1976" i="5"/>
  <c r="N1977" i="5"/>
  <c r="N1978" i="5"/>
  <c r="N1979" i="5"/>
  <c r="N1980" i="5"/>
  <c r="N1981" i="5"/>
  <c r="N1982" i="5"/>
  <c r="O1492" i="5" l="1"/>
  <c r="F1535" i="5" l="1"/>
  <c r="O1535" i="5"/>
  <c r="F248" i="5" l="1"/>
  <c r="O248" i="5"/>
  <c r="O259" i="5" l="1"/>
  <c r="F498" i="5" l="1"/>
  <c r="O498" i="5"/>
  <c r="F272" i="5"/>
  <c r="O272" i="5"/>
  <c r="F264" i="5"/>
  <c r="O264" i="5"/>
  <c r="F957" i="5" l="1"/>
  <c r="O957" i="5"/>
  <c r="F686" i="5" l="1"/>
  <c r="O686" i="5"/>
  <c r="F284" i="5" l="1"/>
  <c r="O284" i="5"/>
  <c r="F959" i="5" l="1"/>
  <c r="O959" i="5"/>
  <c r="F955" i="5"/>
  <c r="N955" i="5" s="1"/>
  <c r="F954" i="5"/>
  <c r="O954" i="5"/>
  <c r="O235" i="5"/>
  <c r="F235" i="5"/>
  <c r="O1747" i="5" l="1"/>
  <c r="O1743" i="5"/>
  <c r="N1746" i="5" l="1"/>
  <c r="M1746" i="5"/>
  <c r="N1745" i="5"/>
  <c r="M1745" i="5"/>
  <c r="N1744" i="5"/>
  <c r="M1744" i="5"/>
  <c r="F1794" i="5" l="1"/>
  <c r="O1794" i="5"/>
  <c r="F1559" i="5"/>
  <c r="O1559" i="5"/>
  <c r="F1366" i="5"/>
  <c r="O1366" i="5"/>
  <c r="F1211" i="5"/>
  <c r="O1211" i="5"/>
  <c r="F1210" i="5"/>
  <c r="O1210" i="5"/>
  <c r="F1183" i="5"/>
  <c r="O1183" i="5"/>
  <c r="F1006" i="5"/>
  <c r="O1006" i="5"/>
  <c r="F335" i="5"/>
  <c r="O335" i="5"/>
  <c r="F305" i="5" l="1"/>
  <c r="F303" i="5"/>
  <c r="O303" i="5"/>
  <c r="F265" i="5"/>
  <c r="O265" i="5"/>
  <c r="F234" i="5"/>
  <c r="O234" i="5"/>
  <c r="F956" i="5" l="1"/>
  <c r="O956" i="5"/>
  <c r="F1871" i="5" l="1"/>
  <c r="O1871" i="5"/>
  <c r="F1807" i="5"/>
  <c r="F1365" i="5"/>
  <c r="O1365" i="5"/>
  <c r="F1356" i="5"/>
  <c r="O1356" i="5"/>
  <c r="F953" i="5"/>
  <c r="O953" i="5"/>
  <c r="F293" i="5"/>
  <c r="O293" i="5"/>
  <c r="F139" i="5"/>
  <c r="O139" i="5"/>
  <c r="N1356" i="5" l="1"/>
  <c r="M1356" i="5"/>
  <c r="F658" i="5" l="1"/>
  <c r="O658" i="5"/>
  <c r="N1950" i="5" l="1"/>
  <c r="O1949" i="5" l="1"/>
  <c r="O1938" i="5"/>
  <c r="O1936" i="5"/>
  <c r="N1940" i="5"/>
  <c r="N1941" i="5"/>
  <c r="N1942" i="5"/>
  <c r="N1943" i="5"/>
  <c r="N1944" i="5"/>
  <c r="N1945" i="5"/>
  <c r="N1946" i="5"/>
  <c r="N1947" i="5"/>
  <c r="N1948" i="5"/>
  <c r="N1939" i="5"/>
  <c r="N1937" i="5" l="1"/>
  <c r="N1926" i="5"/>
  <c r="N1927" i="5"/>
  <c r="N1928" i="5"/>
  <c r="N1929" i="5"/>
  <c r="N1930" i="5"/>
  <c r="N1931" i="5"/>
  <c r="N1932" i="5"/>
  <c r="N1933" i="5"/>
  <c r="N1934" i="5"/>
  <c r="N1935" i="5"/>
  <c r="N1925" i="5"/>
  <c r="O1924" i="5" l="1"/>
  <c r="N1923" i="5"/>
  <c r="M1923" i="5"/>
  <c r="N1922" i="5"/>
  <c r="M1922" i="5"/>
  <c r="N1921" i="5"/>
  <c r="M1921" i="5"/>
  <c r="N1920" i="5"/>
  <c r="M1920" i="5"/>
  <c r="N1919" i="5"/>
  <c r="M1919" i="5"/>
  <c r="N1918" i="5"/>
  <c r="M1918" i="5"/>
  <c r="N1917" i="5"/>
  <c r="M1917" i="5"/>
  <c r="N1916" i="5"/>
  <c r="M1916" i="5"/>
  <c r="N1915" i="5"/>
  <c r="M1915" i="5"/>
  <c r="N1914" i="5"/>
  <c r="M1914" i="5"/>
  <c r="N1913" i="5"/>
  <c r="M1913" i="5"/>
  <c r="N1912" i="5"/>
  <c r="M1912" i="5"/>
  <c r="N1911" i="5"/>
  <c r="M1911" i="5"/>
  <c r="N1910" i="5"/>
  <c r="M1910" i="5"/>
  <c r="N1909" i="5"/>
  <c r="M1909" i="5"/>
  <c r="N1908" i="5"/>
  <c r="M1908" i="5"/>
  <c r="N1907" i="5"/>
  <c r="M1907" i="5"/>
  <c r="N1906" i="5"/>
  <c r="M1906" i="5"/>
  <c r="N1905" i="5"/>
  <c r="M1905" i="5"/>
  <c r="N1904" i="5"/>
  <c r="M1904" i="5"/>
  <c r="N1903" i="5"/>
  <c r="M1903" i="5"/>
  <c r="N1902" i="5"/>
  <c r="M1902" i="5"/>
  <c r="N1901" i="5"/>
  <c r="M1901" i="5"/>
  <c r="N1900" i="5"/>
  <c r="M1900" i="5"/>
  <c r="N1899" i="5"/>
  <c r="M1899" i="5"/>
  <c r="N1898" i="5"/>
  <c r="M1898" i="5"/>
  <c r="N1897" i="5"/>
  <c r="M1897" i="5"/>
  <c r="N1896" i="5"/>
  <c r="M1896" i="5"/>
  <c r="N1895" i="5"/>
  <c r="M1895" i="5"/>
  <c r="N1894" i="5"/>
  <c r="M1894" i="5"/>
  <c r="N1893" i="5"/>
  <c r="M1893" i="5"/>
  <c r="N1892" i="5"/>
  <c r="M1892" i="5"/>
  <c r="N1891" i="5"/>
  <c r="M1891" i="5"/>
  <c r="N1890" i="5"/>
  <c r="M1890" i="5"/>
  <c r="N1889" i="5"/>
  <c r="M1889" i="5"/>
  <c r="N1888" i="5"/>
  <c r="M1888" i="5"/>
  <c r="N1887" i="5"/>
  <c r="M1887" i="5"/>
  <c r="N1886" i="5"/>
  <c r="M1886" i="5"/>
  <c r="N1885" i="5"/>
  <c r="M1885" i="5"/>
  <c r="N1884" i="5"/>
  <c r="M1884" i="5"/>
  <c r="N1883" i="5"/>
  <c r="M1883" i="5"/>
  <c r="N1882" i="5"/>
  <c r="M1882" i="5"/>
  <c r="N1881" i="5"/>
  <c r="M1881" i="5"/>
  <c r="N1880" i="5"/>
  <c r="M1880" i="5"/>
  <c r="N1879" i="5"/>
  <c r="M1879" i="5"/>
  <c r="N1878" i="5"/>
  <c r="M1878" i="5"/>
  <c r="N1877" i="5"/>
  <c r="M1877" i="5"/>
  <c r="N1876" i="5"/>
  <c r="M1876" i="5"/>
  <c r="N1875" i="5"/>
  <c r="M1875" i="5"/>
  <c r="N1874" i="5"/>
  <c r="M1874" i="5"/>
  <c r="N1873" i="5"/>
  <c r="M1873" i="5"/>
  <c r="N1872" i="5"/>
  <c r="M1872" i="5"/>
  <c r="N1871" i="5"/>
  <c r="M1871" i="5"/>
  <c r="N1870" i="5"/>
  <c r="M1870" i="5"/>
  <c r="N1869" i="5"/>
  <c r="M1869" i="5"/>
  <c r="N1868" i="5"/>
  <c r="M1868" i="5"/>
  <c r="N1867" i="5"/>
  <c r="M1867" i="5"/>
  <c r="N1866" i="5"/>
  <c r="M1866" i="5"/>
  <c r="N1865" i="5"/>
  <c r="M1865" i="5"/>
  <c r="N1864" i="5"/>
  <c r="M1864" i="5"/>
  <c r="N1863" i="5"/>
  <c r="M1863" i="5"/>
  <c r="N1862" i="5"/>
  <c r="M1862" i="5"/>
  <c r="N1861" i="5"/>
  <c r="M1861" i="5"/>
  <c r="N1860" i="5"/>
  <c r="M1860" i="5"/>
  <c r="N1859" i="5"/>
  <c r="M1859" i="5"/>
  <c r="N1858" i="5"/>
  <c r="M1858" i="5"/>
  <c r="N1857" i="5"/>
  <c r="M1857" i="5"/>
  <c r="N1856" i="5"/>
  <c r="M1856" i="5"/>
  <c r="N1855" i="5"/>
  <c r="M1855" i="5"/>
  <c r="N1854" i="5"/>
  <c r="M1854" i="5"/>
  <c r="N1853" i="5"/>
  <c r="M1853" i="5"/>
  <c r="N1852" i="5"/>
  <c r="M1852" i="5"/>
  <c r="N1851" i="5"/>
  <c r="M1851" i="5"/>
  <c r="N1850" i="5"/>
  <c r="M1850" i="5"/>
  <c r="N1849" i="5"/>
  <c r="M1849" i="5"/>
  <c r="N1848" i="5"/>
  <c r="M1848" i="5"/>
  <c r="N1847" i="5"/>
  <c r="M1847" i="5"/>
  <c r="N1846" i="5"/>
  <c r="M1846" i="5"/>
  <c r="N1845" i="5"/>
  <c r="M1845" i="5"/>
  <c r="N1844" i="5"/>
  <c r="M1844" i="5"/>
  <c r="N1843" i="5"/>
  <c r="M1843" i="5"/>
  <c r="N1842" i="5"/>
  <c r="M1842" i="5"/>
  <c r="N1841" i="5"/>
  <c r="M1841" i="5"/>
  <c r="N1840" i="5"/>
  <c r="M1840" i="5"/>
  <c r="N1839" i="5"/>
  <c r="M1839" i="5"/>
  <c r="N1838" i="5"/>
  <c r="M1838" i="5"/>
  <c r="N1837" i="5"/>
  <c r="M1837" i="5"/>
  <c r="N1836" i="5"/>
  <c r="M1836" i="5"/>
  <c r="N1835" i="5"/>
  <c r="M1835" i="5"/>
  <c r="N1834" i="5"/>
  <c r="M1834" i="5"/>
  <c r="N1833" i="5"/>
  <c r="M1833" i="5"/>
  <c r="N1832" i="5"/>
  <c r="M1832" i="5"/>
  <c r="N1831" i="5"/>
  <c r="M1831" i="5"/>
  <c r="N1830" i="5"/>
  <c r="M1830" i="5"/>
  <c r="N1829" i="5"/>
  <c r="M1829" i="5"/>
  <c r="N1828" i="5"/>
  <c r="M1828" i="5"/>
  <c r="N1827" i="5"/>
  <c r="M1827" i="5"/>
  <c r="N1826" i="5"/>
  <c r="M1826" i="5"/>
  <c r="F1318" i="5" l="1"/>
  <c r="O1318" i="5"/>
  <c r="F282" i="5"/>
  <c r="O282" i="5"/>
  <c r="F166" i="5"/>
  <c r="O166" i="5"/>
  <c r="F1537" i="5" l="1"/>
  <c r="O1537" i="5"/>
  <c r="F1188" i="5"/>
  <c r="O1188" i="5"/>
  <c r="F1164" i="5"/>
  <c r="O1164" i="5"/>
  <c r="F1005" i="5"/>
  <c r="O1005" i="5"/>
  <c r="F361" i="5"/>
  <c r="O361" i="5"/>
  <c r="F300" i="5"/>
  <c r="O300" i="5"/>
  <c r="F299" i="5"/>
  <c r="O299" i="5"/>
  <c r="F298" i="5"/>
  <c r="O298" i="5"/>
  <c r="F268" i="5"/>
  <c r="O268" i="5"/>
  <c r="M361" i="5" l="1"/>
  <c r="F1803" i="5" l="1"/>
  <c r="O1803" i="5"/>
  <c r="F1239" i="5"/>
  <c r="O1239" i="5"/>
  <c r="F1207" i="5"/>
  <c r="M954" i="5"/>
  <c r="O1825" i="5" l="1"/>
  <c r="O1822" i="5"/>
  <c r="O1813" i="5"/>
  <c r="O1802" i="5"/>
  <c r="O1595" i="5"/>
  <c r="O1582" i="5"/>
  <c r="O1457" i="5"/>
  <c r="O350" i="5"/>
  <c r="O1809" i="5" l="1"/>
  <c r="O1018" i="5" l="1"/>
  <c r="O906" i="5"/>
  <c r="O783" i="5"/>
  <c r="O499" i="5"/>
  <c r="N1808" i="5" l="1"/>
  <c r="N349" i="5"/>
  <c r="M349" i="5"/>
  <c r="N692" i="5"/>
  <c r="N905" i="5" l="1"/>
  <c r="M905" i="5"/>
  <c r="N782" i="5"/>
  <c r="M782" i="5"/>
  <c r="N781" i="5"/>
  <c r="M781" i="5"/>
  <c r="N904" i="5"/>
  <c r="M904" i="5"/>
  <c r="N691" i="5"/>
  <c r="M691" i="5"/>
  <c r="N903" i="5"/>
  <c r="M903" i="5"/>
  <c r="M338" i="5"/>
  <c r="N338" i="5" s="1"/>
  <c r="O337" i="5"/>
  <c r="F337" i="5"/>
  <c r="N690" i="5"/>
  <c r="M690" i="5"/>
  <c r="N688" i="5"/>
  <c r="M688" i="5"/>
  <c r="M337" i="5" l="1"/>
  <c r="N337" i="5"/>
  <c r="O360" i="5" l="1"/>
  <c r="M1811" i="5" l="1"/>
  <c r="N1811" i="5"/>
  <c r="O1819" i="5" l="1"/>
  <c r="O1804" i="5"/>
  <c r="O332" i="5"/>
  <c r="N1823" i="5" l="1"/>
  <c r="M1823" i="5"/>
  <c r="M1798" i="5" l="1"/>
  <c r="N1798" i="5"/>
  <c r="M1800" i="5"/>
  <c r="N1800" i="5"/>
  <c r="M1803" i="5"/>
  <c r="N1803" i="5"/>
  <c r="M1810" i="5"/>
  <c r="N1810" i="5"/>
  <c r="M1814" i="5"/>
  <c r="N1814" i="5"/>
  <c r="M1815" i="5"/>
  <c r="N1815" i="5"/>
  <c r="M1805" i="5"/>
  <c r="N1805" i="5"/>
  <c r="M1816" i="5"/>
  <c r="N1816" i="5"/>
  <c r="M1806" i="5"/>
  <c r="N1806" i="5"/>
  <c r="M1807" i="5"/>
  <c r="N1807" i="5"/>
  <c r="M1820" i="5"/>
  <c r="N1820" i="5"/>
  <c r="M1821" i="5"/>
  <c r="N1821" i="5"/>
  <c r="M1824" i="5"/>
  <c r="N1824" i="5"/>
  <c r="M1817" i="5"/>
  <c r="N1817" i="5"/>
  <c r="M1818" i="5"/>
  <c r="N1818" i="5"/>
  <c r="M1812" i="5"/>
  <c r="N1812" i="5"/>
  <c r="M1801" i="5"/>
  <c r="N1801" i="5"/>
  <c r="O132" i="5" l="1"/>
  <c r="F132" i="5"/>
  <c r="F1751" i="5" l="1"/>
  <c r="O1751" i="5"/>
  <c r="F1722" i="5" l="1"/>
  <c r="O1722" i="5"/>
  <c r="O1400" i="5" l="1"/>
  <c r="F1549" i="5" l="1"/>
  <c r="O1549" i="5"/>
  <c r="F1383" i="5"/>
  <c r="O1383" i="5"/>
  <c r="O1385" i="5" l="1"/>
  <c r="F555" i="5"/>
  <c r="F551" i="5"/>
  <c r="F1729" i="5" l="1"/>
  <c r="F1362" i="5"/>
  <c r="F291" i="5"/>
  <c r="F1363" i="5"/>
  <c r="O1363" i="5"/>
  <c r="M1364" i="5"/>
  <c r="N1364" i="5"/>
  <c r="F1338" i="5"/>
  <c r="O1338" i="5"/>
  <c r="M1339" i="5"/>
  <c r="N1339" i="5" s="1"/>
  <c r="F1323" i="5"/>
  <c r="O1323" i="5"/>
  <c r="M1324" i="5"/>
  <c r="N1324" i="5"/>
  <c r="F1208" i="5"/>
  <c r="O1208" i="5"/>
  <c r="N1209" i="5"/>
  <c r="M1209" i="5"/>
  <c r="F1168" i="5"/>
  <c r="O1168" i="5"/>
  <c r="M1169" i="5"/>
  <c r="N1169" i="5"/>
  <c r="F1104" i="5"/>
  <c r="O1104" i="5"/>
  <c r="M1105" i="5"/>
  <c r="N1105" i="5"/>
  <c r="F1102" i="5"/>
  <c r="O1102" i="5"/>
  <c r="M1103" i="5"/>
  <c r="N1103" i="5"/>
  <c r="F653" i="5"/>
  <c r="O653" i="5"/>
  <c r="F650" i="5"/>
  <c r="O650" i="5"/>
  <c r="M654" i="5"/>
  <c r="N654" i="5"/>
  <c r="M651" i="5"/>
  <c r="N651" i="5"/>
  <c r="F637" i="5"/>
  <c r="O637" i="5"/>
  <c r="M638" i="5"/>
  <c r="N638" i="5"/>
  <c r="M377" i="5"/>
  <c r="N377" i="5" s="1"/>
  <c r="F376" i="5"/>
  <c r="O376" i="5"/>
  <c r="M327" i="5"/>
  <c r="N327" i="5" s="1"/>
  <c r="F326" i="5"/>
  <c r="O326" i="5"/>
  <c r="M207" i="5"/>
  <c r="N207" i="5" s="1"/>
  <c r="F206" i="5"/>
  <c r="O206" i="5"/>
  <c r="M183" i="5"/>
  <c r="N183" i="5" s="1"/>
  <c r="F182" i="5"/>
  <c r="O182" i="5"/>
  <c r="O384" i="5" l="1"/>
  <c r="O1340" i="5"/>
  <c r="F1675" i="5"/>
  <c r="O1675" i="5"/>
  <c r="F1522" i="5"/>
  <c r="O1522" i="5"/>
  <c r="F1437" i="5"/>
  <c r="O1437" i="5"/>
  <c r="F1431" i="5" l="1"/>
  <c r="O1431" i="5"/>
  <c r="F1202" i="5"/>
  <c r="O1202" i="5"/>
  <c r="F1196" i="5"/>
  <c r="O1196" i="5"/>
  <c r="F1119" i="5"/>
  <c r="O1119" i="5"/>
  <c r="F1111" i="5"/>
  <c r="O1111" i="5"/>
  <c r="F1110" i="5"/>
  <c r="O1110" i="5"/>
  <c r="F1091" i="5" l="1"/>
  <c r="F1090" i="5"/>
  <c r="O1090" i="5"/>
  <c r="F1086" i="5"/>
  <c r="O1086" i="5"/>
  <c r="F1048" i="5"/>
  <c r="O1048" i="5"/>
  <c r="F1040" i="5"/>
  <c r="O1040" i="5"/>
  <c r="F575" i="5"/>
  <c r="O575" i="5"/>
  <c r="F237" i="5" l="1"/>
  <c r="O237" i="5"/>
  <c r="F129" i="5" l="1"/>
  <c r="O129" i="5"/>
  <c r="F107" i="5"/>
  <c r="O107" i="5"/>
  <c r="O65" i="5"/>
  <c r="F65" i="5"/>
  <c r="O66" i="5" l="1"/>
  <c r="F1442" i="5"/>
  <c r="O1442" i="5"/>
  <c r="F1020" i="5"/>
  <c r="F1062" i="5" l="1"/>
  <c r="O1062" i="5"/>
  <c r="F1004" i="5"/>
  <c r="O1004" i="5"/>
  <c r="F198" i="5"/>
  <c r="O198" i="5"/>
  <c r="O1799" i="5" l="1"/>
  <c r="O1429" i="5" l="1"/>
  <c r="F1429" i="5"/>
  <c r="O472" i="5"/>
  <c r="F472" i="5"/>
  <c r="F254" i="5" l="1"/>
  <c r="O254" i="5"/>
  <c r="O339" i="5" l="1"/>
  <c r="N1793" i="5" l="1"/>
  <c r="M1793" i="5"/>
  <c r="M1788" i="5" l="1"/>
  <c r="M1787" i="5"/>
  <c r="M1786" i="5"/>
  <c r="M1795" i="5"/>
  <c r="M1796" i="5"/>
  <c r="M1794" i="5"/>
  <c r="N1796" i="5"/>
  <c r="N1794" i="5"/>
  <c r="N1795" i="5"/>
  <c r="O1797" i="5" l="1"/>
  <c r="O1777" i="5" l="1"/>
  <c r="O1471" i="5"/>
  <c r="O1773" i="5"/>
  <c r="O1767" i="5"/>
  <c r="O1785" i="5"/>
  <c r="O1770" i="5"/>
  <c r="O1728" i="5"/>
  <c r="O1714" i="5"/>
  <c r="O1712" i="5"/>
  <c r="O1709" i="5"/>
  <c r="O1721" i="5"/>
  <c r="O1679" i="5"/>
  <c r="O1671" i="5"/>
  <c r="O1603" i="5"/>
  <c r="O1599" i="5"/>
  <c r="O1597" i="5"/>
  <c r="O1588" i="5"/>
  <c r="O1579" i="5"/>
  <c r="O1573" i="5"/>
  <c r="O1571" i="5"/>
  <c r="O1560" i="5"/>
  <c r="O1551" i="5"/>
  <c r="O1548" i="5"/>
  <c r="O1525" i="5"/>
  <c r="O1505" i="5"/>
  <c r="O1498" i="5"/>
  <c r="O1460" i="5"/>
  <c r="O1454" i="5"/>
  <c r="O1407" i="5"/>
  <c r="O1397" i="5"/>
  <c r="O1387" i="5"/>
  <c r="O1381" i="5"/>
  <c r="O1377" i="5"/>
  <c r="O1352" i="5"/>
  <c r="O1346" i="5"/>
  <c r="O1336" i="5"/>
  <c r="O1333" i="5"/>
  <c r="O1327" i="5"/>
  <c r="O1281" i="5"/>
  <c r="O1225" i="5"/>
  <c r="O1217" i="5"/>
  <c r="O1171" i="5"/>
  <c r="O1148" i="5"/>
  <c r="O1074" i="5"/>
  <c r="O1070" i="5"/>
  <c r="O1061" i="5"/>
  <c r="O1053" i="5"/>
  <c r="O1043" i="5"/>
  <c r="O1030" i="5"/>
  <c r="O1011" i="5"/>
  <c r="O1009" i="5"/>
  <c r="O558" i="5"/>
  <c r="O549" i="5"/>
  <c r="O545" i="5"/>
  <c r="O538" i="5"/>
  <c r="O512" i="5"/>
  <c r="O508" i="5"/>
  <c r="O506" i="5"/>
  <c r="O478" i="5"/>
  <c r="O476" i="5"/>
  <c r="O344" i="5"/>
  <c r="O173" i="5"/>
  <c r="O169" i="5"/>
  <c r="O150" i="5"/>
  <c r="O140" i="5"/>
  <c r="O127" i="5"/>
  <c r="O125" i="5"/>
  <c r="O121" i="5"/>
  <c r="O62" i="5"/>
  <c r="N1784" i="5"/>
  <c r="M1784" i="5"/>
  <c r="N1783" i="5"/>
  <c r="M1783" i="5"/>
  <c r="N1782" i="5"/>
  <c r="M1782" i="5"/>
  <c r="N1781" i="5"/>
  <c r="M1781" i="5"/>
  <c r="N1780" i="5"/>
  <c r="M1780" i="5"/>
  <c r="N1779" i="5"/>
  <c r="M1779" i="5"/>
  <c r="N1778" i="5"/>
  <c r="M1778" i="5"/>
  <c r="N1776" i="5"/>
  <c r="M1776" i="5"/>
  <c r="N1775" i="5"/>
  <c r="M1775" i="5"/>
  <c r="N1774" i="5"/>
  <c r="M1774" i="5"/>
  <c r="N1772" i="5"/>
  <c r="M1772" i="5"/>
  <c r="N1771" i="5"/>
  <c r="M1771" i="5"/>
  <c r="N1769" i="5"/>
  <c r="M1769" i="5"/>
  <c r="N1768" i="5"/>
  <c r="M1768" i="5"/>
  <c r="N1766" i="5"/>
  <c r="M1766" i="5"/>
  <c r="N1765" i="5"/>
  <c r="M1765" i="5"/>
  <c r="N1764" i="5"/>
  <c r="M1764" i="5"/>
  <c r="N1763" i="5"/>
  <c r="M1763" i="5"/>
  <c r="N1762" i="5"/>
  <c r="M1762" i="5"/>
  <c r="N1761" i="5"/>
  <c r="M1761" i="5"/>
  <c r="N1760" i="5"/>
  <c r="M1760" i="5"/>
  <c r="N1759" i="5"/>
  <c r="M1759" i="5"/>
  <c r="N1758" i="5"/>
  <c r="M1758" i="5"/>
  <c r="N1757" i="5"/>
  <c r="M1757" i="5"/>
  <c r="N1756" i="5"/>
  <c r="M1756" i="5"/>
  <c r="N1754" i="5"/>
  <c r="M1754" i="5"/>
  <c r="N1753" i="5"/>
  <c r="M1753" i="5"/>
  <c r="N1752" i="5"/>
  <c r="M1752" i="5"/>
  <c r="N1751" i="5"/>
  <c r="M1751" i="5"/>
  <c r="N1750" i="5"/>
  <c r="M1750" i="5"/>
  <c r="N1749" i="5"/>
  <c r="M1749" i="5"/>
  <c r="N1748" i="5"/>
  <c r="M1748" i="5"/>
  <c r="N1741" i="5"/>
  <c r="M1741" i="5"/>
  <c r="N1740" i="5"/>
  <c r="M1740" i="5"/>
  <c r="N1739" i="5"/>
  <c r="M1739" i="5"/>
  <c r="N1738" i="5"/>
  <c r="M1738" i="5"/>
  <c r="N1737" i="5"/>
  <c r="M1737" i="5"/>
  <c r="N1736" i="5"/>
  <c r="M1736" i="5"/>
  <c r="N1735" i="5"/>
  <c r="M1735" i="5"/>
  <c r="N1734" i="5"/>
  <c r="M1734" i="5"/>
  <c r="N1733" i="5"/>
  <c r="M1733" i="5"/>
  <c r="N1732" i="5"/>
  <c r="M1732" i="5"/>
  <c r="N1731" i="5"/>
  <c r="M1731" i="5"/>
  <c r="N1730" i="5"/>
  <c r="M1730" i="5"/>
  <c r="N1729" i="5"/>
  <c r="M1729" i="5"/>
  <c r="N1727" i="5"/>
  <c r="M1727" i="5"/>
  <c r="N1726" i="5"/>
  <c r="M1726" i="5"/>
  <c r="N1725" i="5"/>
  <c r="M1725" i="5"/>
  <c r="N1724" i="5"/>
  <c r="M1724" i="5"/>
  <c r="N1723" i="5"/>
  <c r="M1723" i="5"/>
  <c r="N1722" i="5"/>
  <c r="M1722" i="5"/>
  <c r="N1720" i="5"/>
  <c r="M1720" i="5"/>
  <c r="N1719" i="5"/>
  <c r="M1719" i="5"/>
  <c r="N1718" i="5"/>
  <c r="M1718" i="5"/>
  <c r="N1717" i="5"/>
  <c r="M1717" i="5"/>
  <c r="N1716" i="5"/>
  <c r="M1716" i="5"/>
  <c r="N1715" i="5"/>
  <c r="M1715" i="5"/>
  <c r="N1713" i="5"/>
  <c r="M1713" i="5"/>
  <c r="N1711" i="5"/>
  <c r="M1711" i="5"/>
  <c r="N1710" i="5"/>
  <c r="M1710" i="5"/>
  <c r="N1708" i="5"/>
  <c r="M1708" i="5"/>
  <c r="N1707" i="5"/>
  <c r="M1707" i="5"/>
  <c r="N1706" i="5"/>
  <c r="M1706" i="5"/>
  <c r="N1705" i="5"/>
  <c r="M1705" i="5"/>
  <c r="N1704" i="5"/>
  <c r="M1704" i="5"/>
  <c r="N1703" i="5"/>
  <c r="M1703" i="5"/>
  <c r="N1702" i="5"/>
  <c r="M1702" i="5"/>
  <c r="N1701" i="5"/>
  <c r="M1701" i="5"/>
  <c r="N1700" i="5"/>
  <c r="M1700" i="5"/>
  <c r="N1699" i="5"/>
  <c r="M1699" i="5"/>
  <c r="N1698" i="5"/>
  <c r="M1698" i="5"/>
  <c r="N1697" i="5"/>
  <c r="M1697" i="5"/>
  <c r="N1696" i="5"/>
  <c r="M1696" i="5"/>
  <c r="N1695" i="5"/>
  <c r="M1695" i="5"/>
  <c r="N1694" i="5"/>
  <c r="M1694" i="5"/>
  <c r="N1693" i="5"/>
  <c r="M1693" i="5"/>
  <c r="N1692" i="5"/>
  <c r="M1692" i="5"/>
  <c r="N1691" i="5"/>
  <c r="M1691" i="5"/>
  <c r="N1690" i="5"/>
  <c r="M1690" i="5"/>
  <c r="N1689" i="5"/>
  <c r="M1689" i="5"/>
  <c r="N1688" i="5"/>
  <c r="M1688" i="5"/>
  <c r="N1687" i="5"/>
  <c r="M1687" i="5"/>
  <c r="N1686" i="5"/>
  <c r="M1686" i="5"/>
  <c r="N1685" i="5"/>
  <c r="M1685" i="5"/>
  <c r="N1684" i="5"/>
  <c r="M1684" i="5"/>
  <c r="N1683" i="5"/>
  <c r="M1683" i="5"/>
  <c r="N1682" i="5"/>
  <c r="M1682" i="5"/>
  <c r="N1681" i="5"/>
  <c r="M1681" i="5"/>
  <c r="N1680" i="5"/>
  <c r="M1680" i="5"/>
  <c r="N1678" i="5"/>
  <c r="M1678" i="5"/>
  <c r="N1677" i="5"/>
  <c r="M1677" i="5"/>
  <c r="N1676" i="5"/>
  <c r="M1676" i="5"/>
  <c r="N1675" i="5"/>
  <c r="M1675" i="5"/>
  <c r="N1674" i="5"/>
  <c r="M1674" i="5"/>
  <c r="N1673" i="5"/>
  <c r="M1673" i="5"/>
  <c r="N1672" i="5"/>
  <c r="M1672" i="5"/>
  <c r="N1670" i="5"/>
  <c r="M1670" i="5"/>
  <c r="N1669" i="5"/>
  <c r="M1669" i="5"/>
  <c r="N1668" i="5"/>
  <c r="M1668" i="5"/>
  <c r="N1667" i="5"/>
  <c r="M1667" i="5"/>
  <c r="N1666" i="5"/>
  <c r="M1666" i="5"/>
  <c r="N1665" i="5"/>
  <c r="M1665" i="5"/>
  <c r="N1664" i="5"/>
  <c r="M1664" i="5"/>
  <c r="N1663" i="5"/>
  <c r="M1663" i="5"/>
  <c r="N1662" i="5"/>
  <c r="M1662" i="5"/>
  <c r="N1661" i="5"/>
  <c r="M1661" i="5"/>
  <c r="N1660" i="5"/>
  <c r="M1660" i="5"/>
  <c r="N1659" i="5"/>
  <c r="M1659" i="5"/>
  <c r="N1658" i="5"/>
  <c r="M1658" i="5"/>
  <c r="N1657" i="5"/>
  <c r="M1657" i="5"/>
  <c r="N1656" i="5"/>
  <c r="M1656" i="5"/>
  <c r="N1655" i="5"/>
  <c r="M1655" i="5"/>
  <c r="N1654" i="5"/>
  <c r="M1654" i="5"/>
  <c r="N1653" i="5"/>
  <c r="M1653" i="5"/>
  <c r="N1652" i="5"/>
  <c r="M1652" i="5"/>
  <c r="N1651" i="5"/>
  <c r="M1651" i="5"/>
  <c r="N1650" i="5"/>
  <c r="M1650" i="5"/>
  <c r="N1649" i="5"/>
  <c r="M1649" i="5"/>
  <c r="N1648" i="5"/>
  <c r="M1648" i="5"/>
  <c r="N1647" i="5"/>
  <c r="M1647" i="5"/>
  <c r="N1646" i="5"/>
  <c r="M1646" i="5"/>
  <c r="N1645" i="5"/>
  <c r="M1645" i="5"/>
  <c r="N1644" i="5"/>
  <c r="M1644" i="5"/>
  <c r="N1643" i="5"/>
  <c r="M1643" i="5"/>
  <c r="N1642" i="5"/>
  <c r="M1642" i="5"/>
  <c r="N1641" i="5"/>
  <c r="M1641" i="5"/>
  <c r="N1640" i="5"/>
  <c r="M1640" i="5"/>
  <c r="N1639" i="5"/>
  <c r="M1639" i="5"/>
  <c r="N1638" i="5"/>
  <c r="M1638" i="5"/>
  <c r="N1637" i="5"/>
  <c r="M1637" i="5"/>
  <c r="N1636" i="5"/>
  <c r="M1636" i="5"/>
  <c r="N1635" i="5"/>
  <c r="M1635" i="5"/>
  <c r="N1634" i="5"/>
  <c r="M1634" i="5"/>
  <c r="N1633" i="5"/>
  <c r="M1633" i="5"/>
  <c r="N1632" i="5"/>
  <c r="M1632" i="5"/>
  <c r="N1631" i="5"/>
  <c r="M1631" i="5"/>
  <c r="N1630" i="5"/>
  <c r="M1630" i="5"/>
  <c r="N1629" i="5"/>
  <c r="M1629" i="5"/>
  <c r="N1628" i="5"/>
  <c r="M1628" i="5"/>
  <c r="N1627" i="5"/>
  <c r="M1627" i="5"/>
  <c r="N1626" i="5"/>
  <c r="M1626" i="5"/>
  <c r="N1625" i="5"/>
  <c r="M1625" i="5"/>
  <c r="N1624" i="5"/>
  <c r="M1624" i="5"/>
  <c r="N1623" i="5"/>
  <c r="M1623" i="5"/>
  <c r="N1622" i="5"/>
  <c r="M1622" i="5"/>
  <c r="N1621" i="5"/>
  <c r="M1621" i="5"/>
  <c r="N1620" i="5"/>
  <c r="M1620" i="5"/>
  <c r="N1619" i="5"/>
  <c r="M1619" i="5"/>
  <c r="N1618" i="5"/>
  <c r="M1618" i="5"/>
  <c r="N1617" i="5"/>
  <c r="M1617" i="5"/>
  <c r="N1616" i="5"/>
  <c r="M1616" i="5"/>
  <c r="N1615" i="5"/>
  <c r="M1615" i="5"/>
  <c r="N1614" i="5"/>
  <c r="M1614" i="5"/>
  <c r="N1613" i="5"/>
  <c r="M1613" i="5"/>
  <c r="N1612" i="5"/>
  <c r="M1612" i="5"/>
  <c r="N1611" i="5"/>
  <c r="M1611" i="5"/>
  <c r="N1610" i="5"/>
  <c r="M1610" i="5"/>
  <c r="N1609" i="5"/>
  <c r="M1609" i="5"/>
  <c r="N1608" i="5"/>
  <c r="M1608" i="5"/>
  <c r="N1607" i="5"/>
  <c r="M1607" i="5"/>
  <c r="N1606" i="5"/>
  <c r="M1606" i="5"/>
  <c r="N1605" i="5"/>
  <c r="M1605" i="5"/>
  <c r="N1604" i="5"/>
  <c r="M1604" i="5"/>
  <c r="N1602" i="5"/>
  <c r="M1602" i="5"/>
  <c r="N1601" i="5"/>
  <c r="M1601" i="5"/>
  <c r="N1600" i="5"/>
  <c r="M1600" i="5"/>
  <c r="N1598" i="5"/>
  <c r="M1598" i="5"/>
  <c r="N1596" i="5"/>
  <c r="M1596" i="5"/>
  <c r="N1594" i="5"/>
  <c r="M1594" i="5"/>
  <c r="N1593" i="5"/>
  <c r="M1593" i="5"/>
  <c r="N1592" i="5"/>
  <c r="M1592" i="5"/>
  <c r="N1591" i="5"/>
  <c r="M1591" i="5"/>
  <c r="N1590" i="5"/>
  <c r="M1590" i="5"/>
  <c r="N1589" i="5"/>
  <c r="M1589" i="5"/>
  <c r="N1587" i="5"/>
  <c r="M1587" i="5"/>
  <c r="N1586" i="5"/>
  <c r="M1586" i="5"/>
  <c r="N1585" i="5"/>
  <c r="M1585" i="5"/>
  <c r="N1584" i="5"/>
  <c r="M1584" i="5"/>
  <c r="N1583" i="5"/>
  <c r="M1583" i="5"/>
  <c r="N1581" i="5"/>
  <c r="M1581" i="5"/>
  <c r="N1580" i="5"/>
  <c r="M1580" i="5"/>
  <c r="N1578" i="5"/>
  <c r="M1578" i="5"/>
  <c r="N1577" i="5"/>
  <c r="M1577" i="5"/>
  <c r="N1576" i="5"/>
  <c r="M1576" i="5"/>
  <c r="N1575" i="5"/>
  <c r="M1575" i="5"/>
  <c r="N1574" i="5"/>
  <c r="M1574" i="5"/>
  <c r="N1572" i="5"/>
  <c r="M1572" i="5"/>
  <c r="N1570" i="5"/>
  <c r="M1570" i="5"/>
  <c r="N1569" i="5"/>
  <c r="M1569" i="5"/>
  <c r="N1568" i="5"/>
  <c r="M1568" i="5"/>
  <c r="N1567" i="5"/>
  <c r="M1567" i="5"/>
  <c r="N1566" i="5"/>
  <c r="M1566" i="5"/>
  <c r="N1565" i="5"/>
  <c r="M1565" i="5"/>
  <c r="N1564" i="5"/>
  <c r="M1564" i="5"/>
  <c r="N1563" i="5"/>
  <c r="M1563" i="5"/>
  <c r="N1562" i="5"/>
  <c r="M1562" i="5"/>
  <c r="N1561" i="5"/>
  <c r="M1561" i="5"/>
  <c r="N1559" i="5"/>
  <c r="M1559" i="5"/>
  <c r="N1558" i="5"/>
  <c r="M1558" i="5"/>
  <c r="N1557" i="5"/>
  <c r="M1557" i="5"/>
  <c r="N1556" i="5"/>
  <c r="M1556" i="5"/>
  <c r="N1555" i="5"/>
  <c r="M1555" i="5"/>
  <c r="N1554" i="5"/>
  <c r="M1554" i="5"/>
  <c r="N1553" i="5"/>
  <c r="M1553" i="5"/>
  <c r="N1552" i="5"/>
  <c r="M1552" i="5"/>
  <c r="N1550" i="5"/>
  <c r="M1550" i="5"/>
  <c r="N1549" i="5"/>
  <c r="M1549" i="5"/>
  <c r="N1547" i="5"/>
  <c r="M1547" i="5"/>
  <c r="N1546" i="5"/>
  <c r="M1546" i="5"/>
  <c r="N1545" i="5"/>
  <c r="M1545" i="5"/>
  <c r="N1544" i="5"/>
  <c r="M1544" i="5"/>
  <c r="N1543" i="5"/>
  <c r="M1543" i="5"/>
  <c r="N1542" i="5"/>
  <c r="M1542" i="5"/>
  <c r="N1541" i="5"/>
  <c r="M1541" i="5"/>
  <c r="N1539" i="5"/>
  <c r="M1539" i="5"/>
  <c r="N1538" i="5"/>
  <c r="M1538" i="5"/>
  <c r="N1537" i="5"/>
  <c r="M1537" i="5"/>
  <c r="N1536" i="5"/>
  <c r="M1536" i="5"/>
  <c r="N1535" i="5"/>
  <c r="M1535" i="5"/>
  <c r="N1534" i="5"/>
  <c r="M1534" i="5"/>
  <c r="N1533" i="5"/>
  <c r="M1533" i="5"/>
  <c r="O1532" i="5"/>
  <c r="F1532" i="5"/>
  <c r="N1531" i="5"/>
  <c r="M1531" i="5"/>
  <c r="N1530" i="5"/>
  <c r="M1530" i="5"/>
  <c r="N1529" i="5"/>
  <c r="M1529" i="5"/>
  <c r="N1528" i="5"/>
  <c r="M1528" i="5"/>
  <c r="N1527" i="5"/>
  <c r="M1527" i="5"/>
  <c r="N1526" i="5"/>
  <c r="M1526" i="5"/>
  <c r="N1524" i="5"/>
  <c r="M1524" i="5"/>
  <c r="N1523" i="5"/>
  <c r="M1523" i="5"/>
  <c r="N1522" i="5"/>
  <c r="M1522" i="5"/>
  <c r="N1521" i="5"/>
  <c r="M1521" i="5"/>
  <c r="N1520" i="5"/>
  <c r="M1520" i="5"/>
  <c r="N1519" i="5"/>
  <c r="M1519" i="5"/>
  <c r="N1518" i="5"/>
  <c r="M1518" i="5"/>
  <c r="N1517" i="5"/>
  <c r="M1517" i="5"/>
  <c r="N1516" i="5"/>
  <c r="M1516" i="5"/>
  <c r="N1515" i="5"/>
  <c r="M1515" i="5"/>
  <c r="N1513" i="5"/>
  <c r="M1513" i="5"/>
  <c r="N1512" i="5"/>
  <c r="M1512" i="5"/>
  <c r="N1511" i="5"/>
  <c r="M1511" i="5"/>
  <c r="M1509" i="5"/>
  <c r="N1508" i="5"/>
  <c r="M1508" i="5"/>
  <c r="N1507" i="5"/>
  <c r="M1507" i="5"/>
  <c r="N1506" i="5"/>
  <c r="M1506" i="5"/>
  <c r="N1504" i="5"/>
  <c r="M1504" i="5"/>
  <c r="N1503" i="5"/>
  <c r="M1503" i="5"/>
  <c r="N1502" i="5"/>
  <c r="M1502" i="5"/>
  <c r="N1501" i="5"/>
  <c r="M1501" i="5"/>
  <c r="N1500" i="5"/>
  <c r="M1500" i="5"/>
  <c r="N1499" i="5"/>
  <c r="M1499" i="5"/>
  <c r="N1497" i="5"/>
  <c r="M1497" i="5"/>
  <c r="N1496" i="5"/>
  <c r="M1496" i="5"/>
  <c r="N1495" i="5"/>
  <c r="M1495" i="5"/>
  <c r="N1494" i="5"/>
  <c r="M1494" i="5"/>
  <c r="N1493" i="5"/>
  <c r="M1493" i="5"/>
  <c r="N1491" i="5"/>
  <c r="M1491" i="5"/>
  <c r="N1490" i="5"/>
  <c r="M1490" i="5"/>
  <c r="N1489" i="5"/>
  <c r="M1489" i="5"/>
  <c r="N1488" i="5"/>
  <c r="M1488" i="5"/>
  <c r="N1487" i="5"/>
  <c r="M1487" i="5"/>
  <c r="N1486" i="5"/>
  <c r="M1486" i="5"/>
  <c r="N1485" i="5"/>
  <c r="M1485" i="5"/>
  <c r="N1484" i="5"/>
  <c r="M1484" i="5"/>
  <c r="N1483" i="5"/>
  <c r="M1483" i="5"/>
  <c r="N1482" i="5"/>
  <c r="M1482" i="5"/>
  <c r="N1481" i="5"/>
  <c r="M1481" i="5"/>
  <c r="N1479" i="5"/>
  <c r="M1479" i="5"/>
  <c r="N1478" i="5"/>
  <c r="M1478" i="5"/>
  <c r="M1477" i="5"/>
  <c r="N1476" i="5"/>
  <c r="M1476" i="5"/>
  <c r="N1475" i="5"/>
  <c r="M1475" i="5"/>
  <c r="N1474" i="5"/>
  <c r="M1474" i="5"/>
  <c r="N1473" i="5"/>
  <c r="M1473" i="5"/>
  <c r="N1472" i="5"/>
  <c r="M1472" i="5"/>
  <c r="N1470" i="5"/>
  <c r="M1470" i="5"/>
  <c r="N1469" i="5"/>
  <c r="M1469" i="5"/>
  <c r="N1468" i="5"/>
  <c r="M1468" i="5"/>
  <c r="N1467" i="5"/>
  <c r="M1467" i="5"/>
  <c r="N1466" i="5"/>
  <c r="M1466" i="5"/>
  <c r="N1465" i="5"/>
  <c r="M1465" i="5"/>
  <c r="N1464" i="5"/>
  <c r="M1464" i="5"/>
  <c r="N1463" i="5"/>
  <c r="M1463" i="5"/>
  <c r="N1462" i="5"/>
  <c r="M1462" i="5"/>
  <c r="N1461" i="5"/>
  <c r="M1461" i="5"/>
  <c r="N1459" i="5"/>
  <c r="M1459" i="5"/>
  <c r="N1458" i="5"/>
  <c r="M1458" i="5"/>
  <c r="N1456" i="5"/>
  <c r="M1456" i="5"/>
  <c r="N1455" i="5"/>
  <c r="M1455" i="5"/>
  <c r="N1453" i="5"/>
  <c r="M1453" i="5"/>
  <c r="N1452" i="5"/>
  <c r="M1452" i="5"/>
  <c r="N1450" i="5"/>
  <c r="M1450" i="5"/>
  <c r="N1449" i="5"/>
  <c r="M1449" i="5"/>
  <c r="N1448" i="5"/>
  <c r="M1448" i="5"/>
  <c r="N1447" i="5"/>
  <c r="M1447" i="5"/>
  <c r="N1446" i="5"/>
  <c r="M1446" i="5"/>
  <c r="N1445" i="5"/>
  <c r="M1445" i="5"/>
  <c r="N1444" i="5"/>
  <c r="M1444" i="5"/>
  <c r="N1443" i="5"/>
  <c r="M1443" i="5"/>
  <c r="N1442" i="5"/>
  <c r="M1442" i="5"/>
  <c r="N1441" i="5"/>
  <c r="M1441" i="5"/>
  <c r="N1440" i="5"/>
  <c r="M1440" i="5"/>
  <c r="N1439" i="5"/>
  <c r="M1439" i="5"/>
  <c r="N1438" i="5"/>
  <c r="M1438" i="5"/>
  <c r="N1437" i="5"/>
  <c r="M1437" i="5"/>
  <c r="N1436" i="5"/>
  <c r="M1436" i="5"/>
  <c r="N1435" i="5"/>
  <c r="M1435" i="5"/>
  <c r="N1434" i="5"/>
  <c r="M1434" i="5"/>
  <c r="N1433" i="5"/>
  <c r="M1433" i="5"/>
  <c r="N1432" i="5"/>
  <c r="M1432" i="5"/>
  <c r="N1431" i="5"/>
  <c r="M1431" i="5"/>
  <c r="N1430" i="5"/>
  <c r="M1430" i="5"/>
  <c r="N1429" i="5"/>
  <c r="M1429" i="5"/>
  <c r="N1428" i="5"/>
  <c r="M1428" i="5"/>
  <c r="N1427" i="5"/>
  <c r="M1427" i="5"/>
  <c r="N1426" i="5"/>
  <c r="M1426" i="5"/>
  <c r="N1425" i="5"/>
  <c r="M1425" i="5"/>
  <c r="N1424" i="5"/>
  <c r="M1424" i="5"/>
  <c r="N1423" i="5"/>
  <c r="M1423" i="5"/>
  <c r="N1422" i="5"/>
  <c r="M1422" i="5"/>
  <c r="N1421" i="5"/>
  <c r="M1421" i="5"/>
  <c r="N1420" i="5"/>
  <c r="M1420" i="5"/>
  <c r="N1419" i="5"/>
  <c r="M1419" i="5"/>
  <c r="N1418" i="5"/>
  <c r="M1418" i="5"/>
  <c r="N1417" i="5"/>
  <c r="M1417" i="5"/>
  <c r="N1416" i="5"/>
  <c r="M1416" i="5"/>
  <c r="N1415" i="5"/>
  <c r="M1415" i="5"/>
  <c r="N1414" i="5"/>
  <c r="M1414" i="5"/>
  <c r="N1413" i="5"/>
  <c r="M1413" i="5"/>
  <c r="N1412" i="5"/>
  <c r="M1412" i="5"/>
  <c r="N1411" i="5"/>
  <c r="M1411" i="5"/>
  <c r="N1410" i="5"/>
  <c r="M1410" i="5"/>
  <c r="N1409" i="5"/>
  <c r="M1409" i="5"/>
  <c r="N1408" i="5"/>
  <c r="M1408" i="5"/>
  <c r="N1406" i="5"/>
  <c r="M1406" i="5"/>
  <c r="N1405" i="5"/>
  <c r="M1405" i="5"/>
  <c r="N1404" i="5"/>
  <c r="M1404" i="5"/>
  <c r="N1403" i="5"/>
  <c r="M1403" i="5"/>
  <c r="N1402" i="5"/>
  <c r="M1402" i="5"/>
  <c r="N1401" i="5"/>
  <c r="M1401" i="5"/>
  <c r="N1399" i="5"/>
  <c r="M1399" i="5"/>
  <c r="N1398" i="5"/>
  <c r="M1398" i="5"/>
  <c r="N1396" i="5"/>
  <c r="M1396" i="5"/>
  <c r="N1395" i="5"/>
  <c r="M1395" i="5"/>
  <c r="N1394" i="5"/>
  <c r="M1394" i="5"/>
  <c r="N1393" i="5"/>
  <c r="M1393" i="5"/>
  <c r="N1392" i="5"/>
  <c r="M1392" i="5"/>
  <c r="N1391" i="5"/>
  <c r="M1391" i="5"/>
  <c r="N1390" i="5"/>
  <c r="M1390" i="5"/>
  <c r="N1389" i="5"/>
  <c r="M1389" i="5"/>
  <c r="N1388" i="5"/>
  <c r="M1388" i="5"/>
  <c r="N1384" i="5"/>
  <c r="M1384" i="5"/>
  <c r="N1383" i="5"/>
  <c r="M1383" i="5"/>
  <c r="N1382" i="5"/>
  <c r="M1382" i="5"/>
  <c r="N1380" i="5"/>
  <c r="M1380" i="5"/>
  <c r="N1379" i="5"/>
  <c r="M1379" i="5"/>
  <c r="N1378" i="5"/>
  <c r="M1378" i="5"/>
  <c r="N1376" i="5"/>
  <c r="M1376" i="5"/>
  <c r="N1375" i="5"/>
  <c r="M1375" i="5"/>
  <c r="N1374" i="5"/>
  <c r="M1374" i="5"/>
  <c r="N1373" i="5"/>
  <c r="M1373" i="5"/>
  <c r="N1372" i="5"/>
  <c r="M1372" i="5"/>
  <c r="N1369" i="5"/>
  <c r="M1369" i="5"/>
  <c r="O1368" i="5"/>
  <c r="F1368" i="5"/>
  <c r="N1367" i="5"/>
  <c r="M1367" i="5"/>
  <c r="N1366" i="5"/>
  <c r="M1366" i="5"/>
  <c r="N1365" i="5"/>
  <c r="M1365" i="5"/>
  <c r="N1363" i="5"/>
  <c r="M1363" i="5"/>
  <c r="N1362" i="5"/>
  <c r="M1362" i="5"/>
  <c r="N1361" i="5"/>
  <c r="M1361" i="5"/>
  <c r="N1360" i="5"/>
  <c r="M1360" i="5"/>
  <c r="N1359" i="5"/>
  <c r="M1359" i="5"/>
  <c r="N1358" i="5"/>
  <c r="M1358" i="5"/>
  <c r="N1357" i="5"/>
  <c r="M1357" i="5"/>
  <c r="N1354" i="5"/>
  <c r="M1354" i="5"/>
  <c r="N1353" i="5"/>
  <c r="M1353" i="5"/>
  <c r="N1351" i="5"/>
  <c r="M1351" i="5"/>
  <c r="N1350" i="5"/>
  <c r="M1350" i="5"/>
  <c r="N1349" i="5"/>
  <c r="M1349" i="5"/>
  <c r="N1348" i="5"/>
  <c r="M1348" i="5"/>
  <c r="N1347" i="5"/>
  <c r="M1347" i="5"/>
  <c r="N1345" i="5"/>
  <c r="M1345" i="5"/>
  <c r="N1344" i="5"/>
  <c r="M1344" i="5"/>
  <c r="N1343" i="5"/>
  <c r="M1343" i="5"/>
  <c r="N1342" i="5"/>
  <c r="M1342" i="5"/>
  <c r="N1341" i="5"/>
  <c r="M1341" i="5"/>
  <c r="M1338" i="5"/>
  <c r="N1335" i="5"/>
  <c r="M1335" i="5"/>
  <c r="N1334" i="5"/>
  <c r="M1334" i="5"/>
  <c r="N1332" i="5"/>
  <c r="M1332" i="5"/>
  <c r="N1331" i="5"/>
  <c r="M1331" i="5"/>
  <c r="N1330" i="5"/>
  <c r="M1330" i="5"/>
  <c r="N1329" i="5"/>
  <c r="M1329" i="5"/>
  <c r="N1328" i="5"/>
  <c r="M1328" i="5"/>
  <c r="N1326" i="5"/>
  <c r="M1326" i="5"/>
  <c r="N1325" i="5"/>
  <c r="M1325" i="5"/>
  <c r="N1323" i="5"/>
  <c r="M1323" i="5"/>
  <c r="N1322" i="5"/>
  <c r="M1322" i="5"/>
  <c r="N1321" i="5"/>
  <c r="M1321" i="5"/>
  <c r="N1320" i="5"/>
  <c r="M1320" i="5"/>
  <c r="N1319" i="5"/>
  <c r="M1319" i="5"/>
  <c r="N1318" i="5"/>
  <c r="M1318" i="5"/>
  <c r="N1317" i="5"/>
  <c r="M1317" i="5"/>
  <c r="N1316" i="5"/>
  <c r="M1316" i="5"/>
  <c r="N1315" i="5"/>
  <c r="M1315" i="5"/>
  <c r="N1314" i="5"/>
  <c r="M1314" i="5"/>
  <c r="N1313" i="5"/>
  <c r="M1313" i="5"/>
  <c r="N1312" i="5"/>
  <c r="M1312" i="5"/>
  <c r="N1311" i="5"/>
  <c r="M1311" i="5"/>
  <c r="N1310" i="5"/>
  <c r="M1310" i="5"/>
  <c r="N1309" i="5"/>
  <c r="M1309" i="5"/>
  <c r="N1308" i="5"/>
  <c r="M1308" i="5"/>
  <c r="N1307" i="5"/>
  <c r="M1307" i="5"/>
  <c r="N1306" i="5"/>
  <c r="M1306" i="5"/>
  <c r="N1305" i="5"/>
  <c r="M1305" i="5"/>
  <c r="N1304" i="5"/>
  <c r="M1304" i="5"/>
  <c r="N1303" i="5"/>
  <c r="M1303" i="5"/>
  <c r="N1302" i="5"/>
  <c r="M1302" i="5"/>
  <c r="N1301" i="5"/>
  <c r="M1301" i="5"/>
  <c r="N1300" i="5"/>
  <c r="M1300" i="5"/>
  <c r="N1299" i="5"/>
  <c r="M1299" i="5"/>
  <c r="N1298" i="5"/>
  <c r="M1298" i="5"/>
  <c r="N1297" i="5"/>
  <c r="M1297" i="5"/>
  <c r="N1296" i="5"/>
  <c r="M1296" i="5"/>
  <c r="N1295" i="5"/>
  <c r="M1295" i="5"/>
  <c r="N1294" i="5"/>
  <c r="M1294" i="5"/>
  <c r="N1293" i="5"/>
  <c r="M1293" i="5"/>
  <c r="N1292" i="5"/>
  <c r="M1292" i="5"/>
  <c r="N1291" i="5"/>
  <c r="M1291" i="5"/>
  <c r="M1290" i="5"/>
  <c r="F1290" i="5"/>
  <c r="N1289" i="5"/>
  <c r="M1289" i="5"/>
  <c r="N1288" i="5"/>
  <c r="M1288" i="5"/>
  <c r="N1287" i="5"/>
  <c r="M1287" i="5"/>
  <c r="N1286" i="5"/>
  <c r="M1286" i="5"/>
  <c r="N1285" i="5"/>
  <c r="M1285" i="5"/>
  <c r="N1284" i="5"/>
  <c r="M1284" i="5"/>
  <c r="N1283" i="5"/>
  <c r="M1283" i="5"/>
  <c r="N1282" i="5"/>
  <c r="M1282" i="5"/>
  <c r="N1280" i="5"/>
  <c r="M1280" i="5"/>
  <c r="N1279" i="5"/>
  <c r="M1279" i="5"/>
  <c r="N1278" i="5"/>
  <c r="M1278" i="5"/>
  <c r="N1277" i="5"/>
  <c r="M1277" i="5"/>
  <c r="N1276" i="5"/>
  <c r="M1276" i="5"/>
  <c r="N1275" i="5"/>
  <c r="M1275" i="5"/>
  <c r="N1274" i="5"/>
  <c r="M1274" i="5"/>
  <c r="N1273" i="5"/>
  <c r="M1273" i="5"/>
  <c r="N1272" i="5"/>
  <c r="M1272" i="5"/>
  <c r="N1271" i="5"/>
  <c r="M1271" i="5"/>
  <c r="N1270" i="5"/>
  <c r="M1270" i="5"/>
  <c r="N1269" i="5"/>
  <c r="M1269" i="5"/>
  <c r="N1268" i="5"/>
  <c r="M1268" i="5"/>
  <c r="N1267" i="5"/>
  <c r="M1267" i="5"/>
  <c r="N1266" i="5"/>
  <c r="M1266" i="5"/>
  <c r="N1265" i="5"/>
  <c r="M1265" i="5"/>
  <c r="N1264" i="5"/>
  <c r="M1264" i="5"/>
  <c r="N1263" i="5"/>
  <c r="M1263" i="5"/>
  <c r="N1262" i="5"/>
  <c r="M1262" i="5"/>
  <c r="N1261" i="5"/>
  <c r="M1261" i="5"/>
  <c r="N1260" i="5"/>
  <c r="M1260" i="5"/>
  <c r="N1259" i="5"/>
  <c r="M1259" i="5"/>
  <c r="N1258" i="5"/>
  <c r="M1258" i="5"/>
  <c r="N1257" i="5"/>
  <c r="M1257" i="5"/>
  <c r="N1256" i="5"/>
  <c r="M1256" i="5"/>
  <c r="N1255" i="5"/>
  <c r="M1255" i="5"/>
  <c r="N1254" i="5"/>
  <c r="M1254" i="5"/>
  <c r="N1253" i="5"/>
  <c r="M1253" i="5"/>
  <c r="N1252" i="5"/>
  <c r="M1252" i="5"/>
  <c r="N1251" i="5"/>
  <c r="M1251" i="5"/>
  <c r="N1250" i="5"/>
  <c r="M1250" i="5"/>
  <c r="N1249" i="5"/>
  <c r="M1249" i="5"/>
  <c r="N1248" i="5"/>
  <c r="M1248" i="5"/>
  <c r="N1247" i="5"/>
  <c r="M1247" i="5"/>
  <c r="N1246" i="5"/>
  <c r="M1246" i="5"/>
  <c r="N1245" i="5"/>
  <c r="M1245" i="5"/>
  <c r="N1244" i="5"/>
  <c r="M1244" i="5"/>
  <c r="N1243" i="5"/>
  <c r="M1243" i="5"/>
  <c r="N1242" i="5"/>
  <c r="M1242" i="5"/>
  <c r="N1241" i="5"/>
  <c r="M1241" i="5"/>
  <c r="N1240" i="5"/>
  <c r="M1240" i="5"/>
  <c r="N1239" i="5"/>
  <c r="M1239" i="5"/>
  <c r="N1238" i="5"/>
  <c r="M1238" i="5"/>
  <c r="N1237" i="5"/>
  <c r="M1237" i="5"/>
  <c r="N1236" i="5"/>
  <c r="M1236" i="5"/>
  <c r="N1235" i="5"/>
  <c r="M1235" i="5"/>
  <c r="N1234" i="5"/>
  <c r="M1234" i="5"/>
  <c r="N1233" i="5"/>
  <c r="M1233" i="5"/>
  <c r="N1232" i="5"/>
  <c r="M1232" i="5"/>
  <c r="N1231" i="5"/>
  <c r="M1231" i="5"/>
  <c r="N1230" i="5"/>
  <c r="M1230" i="5"/>
  <c r="N1229" i="5"/>
  <c r="M1229" i="5"/>
  <c r="N1228" i="5"/>
  <c r="M1228" i="5"/>
  <c r="N1227" i="5"/>
  <c r="M1227" i="5"/>
  <c r="N1226" i="5"/>
  <c r="M1226" i="5"/>
  <c r="N1224" i="5"/>
  <c r="M1224" i="5"/>
  <c r="N1223" i="5"/>
  <c r="M1223" i="5"/>
  <c r="N1222" i="5"/>
  <c r="M1222" i="5"/>
  <c r="N1221" i="5"/>
  <c r="M1221" i="5"/>
  <c r="N1220" i="5"/>
  <c r="M1220" i="5"/>
  <c r="N1219" i="5"/>
  <c r="M1219" i="5"/>
  <c r="N1218" i="5"/>
  <c r="M1218" i="5"/>
  <c r="N1216" i="5"/>
  <c r="M1216" i="5"/>
  <c r="N1215" i="5"/>
  <c r="M1215" i="5"/>
  <c r="N1213" i="5"/>
  <c r="M1213" i="5"/>
  <c r="N1212" i="5"/>
  <c r="M1212" i="5"/>
  <c r="N1211" i="5"/>
  <c r="M1211" i="5"/>
  <c r="N1210" i="5"/>
  <c r="M1210" i="5"/>
  <c r="N1208" i="5"/>
  <c r="M1208" i="5"/>
  <c r="N1207" i="5"/>
  <c r="M1207" i="5"/>
  <c r="N1206" i="5"/>
  <c r="M1206" i="5"/>
  <c r="N1205" i="5"/>
  <c r="M1205" i="5"/>
  <c r="N1204" i="5"/>
  <c r="M1204" i="5"/>
  <c r="N1203" i="5"/>
  <c r="M1203" i="5"/>
  <c r="N1202" i="5"/>
  <c r="M1202" i="5"/>
  <c r="N1201" i="5"/>
  <c r="M1201" i="5"/>
  <c r="N1200" i="5"/>
  <c r="M1200" i="5"/>
  <c r="N1199" i="5"/>
  <c r="M1199" i="5"/>
  <c r="N1198" i="5"/>
  <c r="M1198" i="5"/>
  <c r="N1197" i="5"/>
  <c r="M1197" i="5"/>
  <c r="N1196" i="5"/>
  <c r="M1196" i="5"/>
  <c r="N1195" i="5"/>
  <c r="M1195" i="5"/>
  <c r="N1194" i="5"/>
  <c r="M1194" i="5"/>
  <c r="N1193" i="5"/>
  <c r="M1193" i="5"/>
  <c r="N1191" i="5"/>
  <c r="M1191" i="5"/>
  <c r="N1190" i="5"/>
  <c r="M1190" i="5"/>
  <c r="N1189" i="5"/>
  <c r="M1189" i="5"/>
  <c r="N1188" i="5"/>
  <c r="M1188" i="5"/>
  <c r="N1187" i="5"/>
  <c r="M1187" i="5"/>
  <c r="N1186" i="5"/>
  <c r="M1186" i="5"/>
  <c r="N1185" i="5"/>
  <c r="M1185" i="5"/>
  <c r="N1184" i="5"/>
  <c r="M1184" i="5"/>
  <c r="N1183" i="5"/>
  <c r="M1183" i="5"/>
  <c r="N1182" i="5"/>
  <c r="M1182" i="5"/>
  <c r="N1181" i="5"/>
  <c r="M1181" i="5"/>
  <c r="N1180" i="5"/>
  <c r="M1180" i="5"/>
  <c r="N1179" i="5"/>
  <c r="M1179" i="5"/>
  <c r="N1178" i="5"/>
  <c r="M1178" i="5"/>
  <c r="N1177" i="5"/>
  <c r="M1177" i="5"/>
  <c r="N1176" i="5"/>
  <c r="M1176" i="5"/>
  <c r="N1175" i="5"/>
  <c r="M1175" i="5"/>
  <c r="N1174" i="5"/>
  <c r="M1174" i="5"/>
  <c r="O1192" i="5"/>
  <c r="N1173" i="5"/>
  <c r="M1173" i="5"/>
  <c r="N1172" i="5"/>
  <c r="M1172" i="5"/>
  <c r="N1170" i="5"/>
  <c r="M1170" i="5"/>
  <c r="N1168" i="5"/>
  <c r="M1168" i="5"/>
  <c r="N1167" i="5"/>
  <c r="M1167" i="5"/>
  <c r="N1166" i="5"/>
  <c r="M1166" i="5"/>
  <c r="N1165" i="5"/>
  <c r="M1165" i="5"/>
  <c r="M1164" i="5"/>
  <c r="N1163" i="5"/>
  <c r="M1163" i="5"/>
  <c r="M1162" i="5"/>
  <c r="F1162" i="5"/>
  <c r="N1161" i="5"/>
  <c r="M1161" i="5"/>
  <c r="N1160" i="5"/>
  <c r="M1160" i="5"/>
  <c r="N1159" i="5"/>
  <c r="M1159" i="5"/>
  <c r="N1158" i="5"/>
  <c r="M1158" i="5"/>
  <c r="N1157" i="5"/>
  <c r="M1157" i="5"/>
  <c r="N1156" i="5"/>
  <c r="M1156" i="5"/>
  <c r="N1155" i="5"/>
  <c r="M1155" i="5"/>
  <c r="N1154" i="5"/>
  <c r="M1154" i="5"/>
  <c r="N1153" i="5"/>
  <c r="M1153" i="5"/>
  <c r="N1152" i="5"/>
  <c r="M1152" i="5"/>
  <c r="N1151" i="5"/>
  <c r="M1151" i="5"/>
  <c r="N1150" i="5"/>
  <c r="M1150" i="5"/>
  <c r="N1149" i="5"/>
  <c r="M1149" i="5"/>
  <c r="N1147" i="5"/>
  <c r="M1147" i="5"/>
  <c r="N1146" i="5"/>
  <c r="M1146" i="5"/>
  <c r="N1145" i="5"/>
  <c r="M1145" i="5"/>
  <c r="N1144" i="5"/>
  <c r="M1144" i="5"/>
  <c r="N1143" i="5"/>
  <c r="M1143" i="5"/>
  <c r="N1142" i="5"/>
  <c r="M1142" i="5"/>
  <c r="N1141" i="5"/>
  <c r="M1141" i="5"/>
  <c r="N1140" i="5"/>
  <c r="M1140" i="5"/>
  <c r="N1139" i="5"/>
  <c r="M1139" i="5"/>
  <c r="N1138" i="5"/>
  <c r="M1138" i="5"/>
  <c r="N1137" i="5"/>
  <c r="M1137" i="5"/>
  <c r="N1136" i="5"/>
  <c r="M1136" i="5"/>
  <c r="N1135" i="5"/>
  <c r="M1135" i="5"/>
  <c r="N1134" i="5"/>
  <c r="M1134" i="5"/>
  <c r="N1133" i="5"/>
  <c r="M1133" i="5"/>
  <c r="N1132" i="5"/>
  <c r="M1132" i="5"/>
  <c r="N1131" i="5"/>
  <c r="M1131" i="5"/>
  <c r="N1130" i="5"/>
  <c r="M1130" i="5"/>
  <c r="N1129" i="5"/>
  <c r="M1129" i="5"/>
  <c r="N1128" i="5"/>
  <c r="M1128" i="5"/>
  <c r="N1127" i="5"/>
  <c r="M1127" i="5"/>
  <c r="N1126" i="5"/>
  <c r="M1126" i="5"/>
  <c r="N1125" i="5"/>
  <c r="M1125" i="5"/>
  <c r="N1124" i="5"/>
  <c r="M1124" i="5"/>
  <c r="N1123" i="5"/>
  <c r="M1123" i="5"/>
  <c r="N1122" i="5"/>
  <c r="M1122" i="5"/>
  <c r="N1121" i="5"/>
  <c r="M1121" i="5"/>
  <c r="N1120" i="5"/>
  <c r="M1120" i="5"/>
  <c r="N1119" i="5"/>
  <c r="M1119" i="5"/>
  <c r="N1118" i="5"/>
  <c r="M1118" i="5"/>
  <c r="N1117" i="5"/>
  <c r="M1117" i="5"/>
  <c r="N1116" i="5"/>
  <c r="M1116" i="5"/>
  <c r="N1115" i="5"/>
  <c r="M1115" i="5"/>
  <c r="N1114" i="5"/>
  <c r="M1114" i="5"/>
  <c r="N1113" i="5"/>
  <c r="M1113" i="5"/>
  <c r="N1112" i="5"/>
  <c r="M1112" i="5"/>
  <c r="N1111" i="5"/>
  <c r="M1111" i="5"/>
  <c r="N1110" i="5"/>
  <c r="M1110" i="5"/>
  <c r="N1109" i="5"/>
  <c r="M1109" i="5"/>
  <c r="N1108" i="5"/>
  <c r="M1108" i="5"/>
  <c r="N1107" i="5"/>
  <c r="M1107" i="5"/>
  <c r="N1106" i="5"/>
  <c r="M1106" i="5"/>
  <c r="N1104" i="5"/>
  <c r="M1104" i="5"/>
  <c r="N1102" i="5"/>
  <c r="M1102" i="5"/>
  <c r="N1101" i="5"/>
  <c r="M1101" i="5"/>
  <c r="N1100" i="5"/>
  <c r="M1100" i="5"/>
  <c r="N1099" i="5"/>
  <c r="M1099" i="5"/>
  <c r="N1098" i="5"/>
  <c r="M1098" i="5"/>
  <c r="N1097" i="5"/>
  <c r="M1097" i="5"/>
  <c r="N1096" i="5"/>
  <c r="M1096" i="5"/>
  <c r="N1095" i="5"/>
  <c r="M1095" i="5"/>
  <c r="N1094" i="5"/>
  <c r="M1094" i="5"/>
  <c r="N1093" i="5"/>
  <c r="M1093" i="5"/>
  <c r="N1092" i="5"/>
  <c r="M1092" i="5"/>
  <c r="N1091" i="5"/>
  <c r="M1091" i="5"/>
  <c r="N1090" i="5"/>
  <c r="M1090" i="5"/>
  <c r="N1089" i="5"/>
  <c r="M1089" i="5"/>
  <c r="N1088" i="5"/>
  <c r="M1088" i="5"/>
  <c r="N1087" i="5"/>
  <c r="M1087" i="5"/>
  <c r="N1086" i="5"/>
  <c r="M1086" i="5"/>
  <c r="N1085" i="5"/>
  <c r="M1085" i="5"/>
  <c r="N1083" i="5"/>
  <c r="M1083" i="5"/>
  <c r="N1082" i="5"/>
  <c r="M1082" i="5"/>
  <c r="N1081" i="5"/>
  <c r="M1081" i="5"/>
  <c r="N1080" i="5"/>
  <c r="M1080" i="5"/>
  <c r="N1079" i="5"/>
  <c r="M1079" i="5"/>
  <c r="N1078" i="5"/>
  <c r="M1078" i="5"/>
  <c r="N1077" i="5"/>
  <c r="M1077" i="5"/>
  <c r="N1076" i="5"/>
  <c r="M1076" i="5"/>
  <c r="N1075" i="5"/>
  <c r="M1075" i="5"/>
  <c r="N1073" i="5"/>
  <c r="M1073" i="5"/>
  <c r="N1072" i="5"/>
  <c r="M1072" i="5"/>
  <c r="N1071" i="5"/>
  <c r="M1071" i="5"/>
  <c r="N1069" i="5"/>
  <c r="M1069" i="5"/>
  <c r="N1068" i="5"/>
  <c r="M1068" i="5"/>
  <c r="N1067" i="5"/>
  <c r="M1067" i="5"/>
  <c r="N1066" i="5"/>
  <c r="M1066" i="5"/>
  <c r="N1065" i="5"/>
  <c r="M1065" i="5"/>
  <c r="N1064" i="5"/>
  <c r="M1064" i="5"/>
  <c r="N1063" i="5"/>
  <c r="M1063" i="5"/>
  <c r="N1062" i="5"/>
  <c r="M1062" i="5"/>
  <c r="N1060" i="5"/>
  <c r="M1060" i="5"/>
  <c r="N1059" i="5"/>
  <c r="M1059" i="5"/>
  <c r="N1057" i="5"/>
  <c r="M1057" i="5"/>
  <c r="N1056" i="5"/>
  <c r="M1056" i="5"/>
  <c r="N1055" i="5"/>
  <c r="M1055" i="5"/>
  <c r="N1054" i="5"/>
  <c r="M1054" i="5"/>
  <c r="N1052" i="5"/>
  <c r="M1052" i="5"/>
  <c r="N1051" i="5"/>
  <c r="M1051" i="5"/>
  <c r="N1050" i="5"/>
  <c r="M1050" i="5"/>
  <c r="N1049" i="5"/>
  <c r="M1049" i="5"/>
  <c r="N1048" i="5"/>
  <c r="M1048" i="5"/>
  <c r="N1047" i="5"/>
  <c r="M1047" i="5"/>
  <c r="M1046" i="5"/>
  <c r="F1046" i="5"/>
  <c r="N1045" i="5"/>
  <c r="M1045" i="5"/>
  <c r="N1044" i="5"/>
  <c r="M1044" i="5"/>
  <c r="N1042" i="5"/>
  <c r="M1042" i="5"/>
  <c r="N1041" i="5"/>
  <c r="M1041" i="5"/>
  <c r="N1040" i="5"/>
  <c r="M1040" i="5"/>
  <c r="N1039" i="5"/>
  <c r="M1039" i="5"/>
  <c r="N1038" i="5"/>
  <c r="M1038" i="5"/>
  <c r="N1037" i="5"/>
  <c r="M1037" i="5"/>
  <c r="N1036" i="5"/>
  <c r="M1036" i="5"/>
  <c r="N1035" i="5"/>
  <c r="M1035" i="5"/>
  <c r="N1034" i="5"/>
  <c r="M1034" i="5"/>
  <c r="N1033" i="5"/>
  <c r="M1033" i="5"/>
  <c r="N1032" i="5"/>
  <c r="M1032" i="5"/>
  <c r="N1031" i="5"/>
  <c r="M1031" i="5"/>
  <c r="N1029" i="5"/>
  <c r="M1029" i="5"/>
  <c r="N1028" i="5"/>
  <c r="M1028" i="5"/>
  <c r="N1027" i="5"/>
  <c r="M1027" i="5"/>
  <c r="N1026" i="5"/>
  <c r="M1026" i="5"/>
  <c r="N1025" i="5"/>
  <c r="M1025" i="5"/>
  <c r="N1023" i="5"/>
  <c r="M1023" i="5"/>
  <c r="N1022" i="5"/>
  <c r="M1022" i="5"/>
  <c r="O1021" i="5"/>
  <c r="F1021" i="5"/>
  <c r="N1019" i="5"/>
  <c r="M1019" i="5"/>
  <c r="N1017" i="5"/>
  <c r="M1017" i="5"/>
  <c r="N1016" i="5"/>
  <c r="M1016" i="5"/>
  <c r="N1015" i="5"/>
  <c r="M1015" i="5"/>
  <c r="N1014" i="5"/>
  <c r="M1014" i="5"/>
  <c r="N1013" i="5"/>
  <c r="M1013" i="5"/>
  <c r="N1012" i="5"/>
  <c r="M1012" i="5"/>
  <c r="N1010" i="5"/>
  <c r="M1010" i="5"/>
  <c r="N1006" i="5"/>
  <c r="M1006" i="5"/>
  <c r="N1005" i="5"/>
  <c r="M1005" i="5"/>
  <c r="N1004" i="5"/>
  <c r="M1004" i="5"/>
  <c r="N1003" i="5"/>
  <c r="M1003" i="5"/>
  <c r="N1002" i="5"/>
  <c r="M1002" i="5"/>
  <c r="N1001" i="5"/>
  <c r="M1001" i="5"/>
  <c r="N1000" i="5"/>
  <c r="M1000" i="5"/>
  <c r="N999" i="5"/>
  <c r="M999" i="5"/>
  <c r="N998" i="5"/>
  <c r="M998" i="5"/>
  <c r="N997" i="5"/>
  <c r="M997" i="5"/>
  <c r="N996" i="5"/>
  <c r="M996" i="5"/>
  <c r="N995" i="5"/>
  <c r="M995" i="5"/>
  <c r="N994" i="5"/>
  <c r="M994" i="5"/>
  <c r="N758" i="5"/>
  <c r="M758" i="5"/>
  <c r="N757" i="5"/>
  <c r="M757" i="5"/>
  <c r="N756" i="5"/>
  <c r="M756" i="5"/>
  <c r="N755" i="5"/>
  <c r="M755" i="5"/>
  <c r="N993" i="5"/>
  <c r="M993" i="5"/>
  <c r="N992" i="5"/>
  <c r="M992" i="5"/>
  <c r="N991" i="5"/>
  <c r="M991" i="5"/>
  <c r="N990" i="5"/>
  <c r="M990" i="5"/>
  <c r="N989" i="5"/>
  <c r="M989" i="5"/>
  <c r="N988" i="5"/>
  <c r="M988" i="5"/>
  <c r="N987" i="5"/>
  <c r="M987" i="5"/>
  <c r="N986" i="5"/>
  <c r="M986" i="5"/>
  <c r="N985" i="5"/>
  <c r="M985" i="5"/>
  <c r="N984" i="5"/>
  <c r="M984" i="5"/>
  <c r="N983" i="5"/>
  <c r="M983" i="5"/>
  <c r="N982" i="5"/>
  <c r="M982" i="5"/>
  <c r="N981" i="5"/>
  <c r="M981" i="5"/>
  <c r="N980" i="5"/>
  <c r="M980" i="5"/>
  <c r="N979" i="5"/>
  <c r="M979" i="5"/>
  <c r="N978" i="5"/>
  <c r="M978" i="5"/>
  <c r="N977" i="5"/>
  <c r="M977" i="5"/>
  <c r="N976" i="5"/>
  <c r="M976" i="5"/>
  <c r="N975" i="5"/>
  <c r="M975" i="5"/>
  <c r="N974" i="5"/>
  <c r="M974" i="5"/>
  <c r="N973" i="5"/>
  <c r="M973" i="5"/>
  <c r="N972" i="5"/>
  <c r="M972" i="5"/>
  <c r="N971" i="5"/>
  <c r="M971" i="5"/>
  <c r="N970" i="5"/>
  <c r="M970" i="5"/>
  <c r="O969" i="5"/>
  <c r="F969" i="5"/>
  <c r="N968" i="5"/>
  <c r="M968" i="5"/>
  <c r="N967" i="5"/>
  <c r="M967" i="5"/>
  <c r="N966" i="5"/>
  <c r="M966" i="5"/>
  <c r="N965" i="5"/>
  <c r="M965" i="5"/>
  <c r="N964" i="5"/>
  <c r="M964" i="5"/>
  <c r="N963" i="5"/>
  <c r="M963" i="5"/>
  <c r="N962" i="5"/>
  <c r="M962" i="5"/>
  <c r="N961" i="5"/>
  <c r="M961" i="5"/>
  <c r="N960" i="5"/>
  <c r="M960" i="5"/>
  <c r="N959" i="5"/>
  <c r="M959" i="5"/>
  <c r="N958" i="5"/>
  <c r="M958" i="5"/>
  <c r="N957" i="5"/>
  <c r="M957" i="5"/>
  <c r="N956" i="5"/>
  <c r="M956" i="5"/>
  <c r="N954" i="5"/>
  <c r="N953" i="5"/>
  <c r="M953" i="5"/>
  <c r="N952" i="5"/>
  <c r="M952" i="5"/>
  <c r="N951" i="5"/>
  <c r="M951" i="5"/>
  <c r="N950" i="5"/>
  <c r="M950" i="5"/>
  <c r="N949" i="5"/>
  <c r="M949" i="5"/>
  <c r="N948" i="5"/>
  <c r="M948" i="5"/>
  <c r="N947" i="5"/>
  <c r="M947" i="5"/>
  <c r="N946" i="5"/>
  <c r="M946" i="5"/>
  <c r="N945" i="5"/>
  <c r="M945" i="5"/>
  <c r="N944" i="5"/>
  <c r="M944" i="5"/>
  <c r="N943" i="5"/>
  <c r="M943" i="5"/>
  <c r="N942" i="5"/>
  <c r="M942" i="5"/>
  <c r="N941" i="5"/>
  <c r="M941" i="5"/>
  <c r="N940" i="5"/>
  <c r="M940" i="5"/>
  <c r="N939" i="5"/>
  <c r="M939" i="5"/>
  <c r="N938" i="5"/>
  <c r="M938" i="5"/>
  <c r="N937" i="5"/>
  <c r="M937" i="5"/>
  <c r="N936" i="5"/>
  <c r="M936" i="5"/>
  <c r="N935" i="5"/>
  <c r="M935" i="5"/>
  <c r="N934" i="5"/>
  <c r="M934" i="5"/>
  <c r="N933" i="5"/>
  <c r="M933" i="5"/>
  <c r="N932" i="5"/>
  <c r="M932" i="5"/>
  <c r="N931" i="5"/>
  <c r="M931" i="5"/>
  <c r="N930" i="5"/>
  <c r="M930" i="5"/>
  <c r="N929" i="5"/>
  <c r="M929" i="5"/>
  <c r="N928" i="5"/>
  <c r="M928" i="5"/>
  <c r="N927" i="5"/>
  <c r="M927" i="5"/>
  <c r="N926" i="5"/>
  <c r="M926" i="5"/>
  <c r="N925" i="5"/>
  <c r="M925" i="5"/>
  <c r="N924" i="5"/>
  <c r="M924" i="5"/>
  <c r="N923" i="5"/>
  <c r="M923" i="5"/>
  <c r="N922" i="5"/>
  <c r="M922" i="5"/>
  <c r="N921" i="5"/>
  <c r="M921" i="5"/>
  <c r="N920" i="5"/>
  <c r="M920" i="5"/>
  <c r="N919" i="5"/>
  <c r="M919" i="5"/>
  <c r="N918" i="5"/>
  <c r="M918" i="5"/>
  <c r="N917" i="5"/>
  <c r="M917" i="5"/>
  <c r="N916" i="5"/>
  <c r="M916" i="5"/>
  <c r="N915" i="5"/>
  <c r="M915" i="5"/>
  <c r="N914" i="5"/>
  <c r="M914" i="5"/>
  <c r="N913" i="5"/>
  <c r="M913" i="5"/>
  <c r="N912" i="5"/>
  <c r="M912" i="5"/>
  <c r="N911" i="5"/>
  <c r="M911" i="5"/>
  <c r="N910" i="5"/>
  <c r="M910" i="5"/>
  <c r="N909" i="5"/>
  <c r="M909" i="5"/>
  <c r="N902" i="5"/>
  <c r="M902" i="5"/>
  <c r="N908" i="5"/>
  <c r="M908" i="5"/>
  <c r="N907" i="5"/>
  <c r="M907" i="5"/>
  <c r="N901" i="5"/>
  <c r="M901" i="5"/>
  <c r="N900" i="5"/>
  <c r="M900" i="5"/>
  <c r="N899" i="5"/>
  <c r="M899" i="5"/>
  <c r="N898" i="5"/>
  <c r="M898" i="5"/>
  <c r="N897" i="5"/>
  <c r="M897" i="5"/>
  <c r="N896" i="5"/>
  <c r="M896" i="5"/>
  <c r="N895" i="5"/>
  <c r="M895" i="5"/>
  <c r="N894" i="5"/>
  <c r="M894" i="5"/>
  <c r="N893" i="5"/>
  <c r="M893" i="5"/>
  <c r="N892" i="5"/>
  <c r="M892" i="5"/>
  <c r="N891" i="5"/>
  <c r="M891" i="5"/>
  <c r="N890" i="5"/>
  <c r="M890" i="5"/>
  <c r="N889" i="5"/>
  <c r="N888" i="5"/>
  <c r="M888" i="5"/>
  <c r="N887" i="5"/>
  <c r="M887" i="5"/>
  <c r="N886" i="5"/>
  <c r="M886" i="5"/>
  <c r="N885" i="5"/>
  <c r="M885" i="5"/>
  <c r="N884" i="5"/>
  <c r="M884" i="5"/>
  <c r="N883" i="5"/>
  <c r="M883" i="5"/>
  <c r="N882" i="5"/>
  <c r="M882" i="5"/>
  <c r="N881" i="5"/>
  <c r="M881" i="5"/>
  <c r="N880" i="5"/>
  <c r="M880" i="5"/>
  <c r="N879" i="5"/>
  <c r="M879" i="5"/>
  <c r="N878" i="5"/>
  <c r="M878" i="5"/>
  <c r="N877" i="5"/>
  <c r="M877" i="5"/>
  <c r="N876" i="5"/>
  <c r="M876" i="5"/>
  <c r="N875" i="5"/>
  <c r="M875" i="5"/>
  <c r="N874" i="5"/>
  <c r="M874" i="5"/>
  <c r="N873" i="5"/>
  <c r="M873" i="5"/>
  <c r="N872" i="5"/>
  <c r="M872" i="5"/>
  <c r="N871" i="5"/>
  <c r="M871" i="5"/>
  <c r="N870" i="5"/>
  <c r="M870" i="5"/>
  <c r="N869" i="5"/>
  <c r="M869" i="5"/>
  <c r="N868" i="5"/>
  <c r="M868" i="5"/>
  <c r="N867" i="5"/>
  <c r="M867" i="5"/>
  <c r="N866" i="5"/>
  <c r="M866" i="5"/>
  <c r="N865" i="5"/>
  <c r="M865" i="5"/>
  <c r="N864" i="5"/>
  <c r="M864" i="5"/>
  <c r="N863" i="5"/>
  <c r="M863" i="5"/>
  <c r="N862" i="5"/>
  <c r="M862" i="5"/>
  <c r="N754" i="5"/>
  <c r="M754" i="5"/>
  <c r="N861" i="5"/>
  <c r="M861" i="5"/>
  <c r="N860" i="5"/>
  <c r="M860" i="5"/>
  <c r="N859" i="5"/>
  <c r="M859" i="5"/>
  <c r="N858" i="5"/>
  <c r="M858" i="5"/>
  <c r="N857" i="5"/>
  <c r="M857" i="5"/>
  <c r="N856" i="5"/>
  <c r="M856" i="5"/>
  <c r="N855" i="5"/>
  <c r="M855" i="5"/>
  <c r="N854" i="5"/>
  <c r="M854" i="5"/>
  <c r="N853" i="5"/>
  <c r="M853" i="5"/>
  <c r="N852" i="5"/>
  <c r="M852" i="5"/>
  <c r="N851" i="5"/>
  <c r="M851" i="5"/>
  <c r="N850" i="5"/>
  <c r="M850" i="5"/>
  <c r="N849" i="5"/>
  <c r="M849" i="5"/>
  <c r="N848" i="5"/>
  <c r="M848" i="5"/>
  <c r="N847" i="5"/>
  <c r="M847" i="5"/>
  <c r="N846" i="5"/>
  <c r="M846" i="5"/>
  <c r="N845" i="5"/>
  <c r="M845" i="5"/>
  <c r="N844" i="5"/>
  <c r="M844" i="5"/>
  <c r="N843" i="5"/>
  <c r="M843" i="5"/>
  <c r="N842" i="5"/>
  <c r="M842" i="5"/>
  <c r="N841" i="5"/>
  <c r="M841" i="5"/>
  <c r="N840" i="5"/>
  <c r="M840" i="5"/>
  <c r="N839" i="5"/>
  <c r="M839" i="5"/>
  <c r="N838" i="5"/>
  <c r="M838" i="5"/>
  <c r="N837" i="5"/>
  <c r="M837" i="5"/>
  <c r="N836" i="5"/>
  <c r="M836" i="5"/>
  <c r="N835" i="5"/>
  <c r="M835" i="5"/>
  <c r="N834" i="5"/>
  <c r="M834" i="5"/>
  <c r="N833" i="5"/>
  <c r="M833" i="5"/>
  <c r="N832" i="5"/>
  <c r="M832" i="5"/>
  <c r="N831" i="5"/>
  <c r="M831" i="5"/>
  <c r="N830" i="5"/>
  <c r="M830" i="5"/>
  <c r="N829" i="5"/>
  <c r="M829" i="5"/>
  <c r="N828" i="5"/>
  <c r="M828" i="5"/>
  <c r="N827" i="5"/>
  <c r="M827" i="5"/>
  <c r="N826" i="5"/>
  <c r="M826" i="5"/>
  <c r="N825" i="5"/>
  <c r="M825" i="5"/>
  <c r="N824" i="5"/>
  <c r="M824" i="5"/>
  <c r="N823" i="5"/>
  <c r="M823" i="5"/>
  <c r="N822" i="5"/>
  <c r="M822" i="5"/>
  <c r="N821" i="5"/>
  <c r="M821" i="5"/>
  <c r="N820" i="5"/>
  <c r="M820" i="5"/>
  <c r="N819" i="5"/>
  <c r="M819" i="5"/>
  <c r="N818" i="5"/>
  <c r="M818" i="5"/>
  <c r="N817" i="5"/>
  <c r="M817" i="5"/>
  <c r="N816" i="5"/>
  <c r="M816" i="5"/>
  <c r="N815" i="5"/>
  <c r="M815" i="5"/>
  <c r="N814" i="5"/>
  <c r="M814" i="5"/>
  <c r="N813" i="5"/>
  <c r="M813" i="5"/>
  <c r="N812" i="5"/>
  <c r="M812" i="5"/>
  <c r="N811" i="5"/>
  <c r="M811" i="5"/>
  <c r="N810" i="5"/>
  <c r="M810" i="5"/>
  <c r="N809" i="5"/>
  <c r="M809" i="5"/>
  <c r="N808" i="5"/>
  <c r="M808" i="5"/>
  <c r="N807" i="5"/>
  <c r="M807" i="5"/>
  <c r="N806" i="5"/>
  <c r="M806" i="5"/>
  <c r="N805" i="5"/>
  <c r="M805" i="5"/>
  <c r="N804" i="5"/>
  <c r="M804" i="5"/>
  <c r="N803" i="5"/>
  <c r="M803" i="5"/>
  <c r="N802" i="5"/>
  <c r="M802" i="5"/>
  <c r="N801" i="5"/>
  <c r="M801" i="5"/>
  <c r="N800" i="5"/>
  <c r="M800" i="5"/>
  <c r="N799" i="5"/>
  <c r="M799" i="5"/>
  <c r="N798" i="5"/>
  <c r="M798" i="5"/>
  <c r="N753" i="5"/>
  <c r="M753" i="5"/>
  <c r="N752" i="5"/>
  <c r="M752" i="5"/>
  <c r="N797" i="5"/>
  <c r="M797" i="5"/>
  <c r="N796" i="5"/>
  <c r="M796" i="5"/>
  <c r="N795" i="5"/>
  <c r="M795" i="5"/>
  <c r="N794" i="5"/>
  <c r="M794" i="5"/>
  <c r="N793" i="5"/>
  <c r="M793" i="5"/>
  <c r="N792" i="5"/>
  <c r="M792" i="5"/>
  <c r="N791" i="5"/>
  <c r="M791" i="5"/>
  <c r="N790" i="5"/>
  <c r="M790" i="5"/>
  <c r="N789" i="5"/>
  <c r="M789" i="5"/>
  <c r="N788" i="5"/>
  <c r="M788" i="5"/>
  <c r="N787" i="5"/>
  <c r="M787" i="5"/>
  <c r="N786" i="5"/>
  <c r="M786" i="5"/>
  <c r="N785" i="5"/>
  <c r="M785" i="5"/>
  <c r="N784" i="5"/>
  <c r="M784" i="5"/>
  <c r="N751" i="5"/>
  <c r="M751" i="5"/>
  <c r="N750" i="5"/>
  <c r="M750" i="5"/>
  <c r="N780" i="5"/>
  <c r="M780" i="5"/>
  <c r="N779" i="5"/>
  <c r="M779" i="5"/>
  <c r="N778" i="5"/>
  <c r="M778" i="5"/>
  <c r="N777" i="5"/>
  <c r="M777" i="5"/>
  <c r="N776" i="5"/>
  <c r="M776" i="5"/>
  <c r="N775" i="5"/>
  <c r="M775" i="5"/>
  <c r="N774" i="5"/>
  <c r="M774" i="5"/>
  <c r="N773" i="5"/>
  <c r="M773" i="5"/>
  <c r="N772" i="5"/>
  <c r="M772" i="5"/>
  <c r="N771" i="5"/>
  <c r="M771" i="5"/>
  <c r="N770" i="5"/>
  <c r="M770" i="5"/>
  <c r="N769" i="5"/>
  <c r="M769" i="5"/>
  <c r="N768" i="5"/>
  <c r="M768" i="5"/>
  <c r="N767" i="5"/>
  <c r="M767" i="5"/>
  <c r="N766" i="5"/>
  <c r="M766" i="5"/>
  <c r="N765" i="5"/>
  <c r="M765" i="5"/>
  <c r="N764" i="5"/>
  <c r="M764" i="5"/>
  <c r="N763" i="5"/>
  <c r="M763" i="5"/>
  <c r="N762" i="5"/>
  <c r="M762" i="5"/>
  <c r="N761" i="5"/>
  <c r="M761" i="5"/>
  <c r="N760" i="5"/>
  <c r="M760" i="5"/>
  <c r="N759" i="5"/>
  <c r="M759" i="5"/>
  <c r="N749" i="5"/>
  <c r="M749" i="5"/>
  <c r="N748" i="5"/>
  <c r="M748" i="5"/>
  <c r="N747" i="5"/>
  <c r="M747" i="5"/>
  <c r="N746" i="5"/>
  <c r="M746" i="5"/>
  <c r="N745" i="5"/>
  <c r="M745" i="5"/>
  <c r="N744" i="5"/>
  <c r="M744" i="5"/>
  <c r="N743" i="5"/>
  <c r="M743" i="5"/>
  <c r="N742" i="5"/>
  <c r="M742" i="5"/>
  <c r="N741" i="5"/>
  <c r="M741" i="5"/>
  <c r="N740" i="5"/>
  <c r="M740" i="5"/>
  <c r="N739" i="5"/>
  <c r="M739" i="5"/>
  <c r="N738" i="5"/>
  <c r="M738" i="5"/>
  <c r="N737" i="5"/>
  <c r="M737" i="5"/>
  <c r="N736" i="5"/>
  <c r="M736" i="5"/>
  <c r="N735" i="5"/>
  <c r="M735" i="5"/>
  <c r="N734" i="5"/>
  <c r="M734" i="5"/>
  <c r="N733" i="5"/>
  <c r="M733" i="5"/>
  <c r="N732" i="5"/>
  <c r="M732" i="5"/>
  <c r="N731" i="5"/>
  <c r="M731" i="5"/>
  <c r="N730" i="5"/>
  <c r="M730" i="5"/>
  <c r="N729" i="5"/>
  <c r="M729" i="5"/>
  <c r="N728" i="5"/>
  <c r="M728" i="5"/>
  <c r="N727" i="5"/>
  <c r="M727" i="5"/>
  <c r="N726" i="5"/>
  <c r="M726" i="5"/>
  <c r="N725" i="5"/>
  <c r="M725" i="5"/>
  <c r="N724" i="5"/>
  <c r="M724" i="5"/>
  <c r="N723" i="5"/>
  <c r="M723" i="5"/>
  <c r="N722" i="5"/>
  <c r="M722" i="5"/>
  <c r="N721" i="5"/>
  <c r="M721" i="5"/>
  <c r="N720" i="5"/>
  <c r="M720" i="5"/>
  <c r="N719" i="5"/>
  <c r="M719" i="5"/>
  <c r="N718" i="5"/>
  <c r="M718" i="5"/>
  <c r="N717" i="5"/>
  <c r="M717" i="5"/>
  <c r="N716" i="5"/>
  <c r="M716" i="5"/>
  <c r="N715" i="5"/>
  <c r="M715" i="5"/>
  <c r="N714" i="5"/>
  <c r="M714" i="5"/>
  <c r="N713" i="5"/>
  <c r="M713" i="5"/>
  <c r="N712" i="5"/>
  <c r="M712" i="5"/>
  <c r="N711" i="5"/>
  <c r="M711" i="5"/>
  <c r="N710" i="5"/>
  <c r="M710" i="5"/>
  <c r="N709" i="5"/>
  <c r="M709" i="5"/>
  <c r="N708" i="5"/>
  <c r="M708" i="5"/>
  <c r="N707" i="5"/>
  <c r="M707" i="5"/>
  <c r="N706" i="5"/>
  <c r="M706" i="5"/>
  <c r="N705" i="5"/>
  <c r="M705" i="5"/>
  <c r="N704" i="5"/>
  <c r="M704" i="5"/>
  <c r="N703" i="5"/>
  <c r="M703" i="5"/>
  <c r="N702" i="5"/>
  <c r="M702" i="5"/>
  <c r="N701" i="5"/>
  <c r="M701" i="5"/>
  <c r="N700" i="5"/>
  <c r="M700" i="5"/>
  <c r="N699" i="5"/>
  <c r="M699" i="5"/>
  <c r="N698" i="5"/>
  <c r="M698" i="5"/>
  <c r="N697" i="5"/>
  <c r="M697" i="5"/>
  <c r="N696" i="5"/>
  <c r="M696" i="5"/>
  <c r="N695" i="5"/>
  <c r="M695" i="5"/>
  <c r="N694" i="5"/>
  <c r="M694" i="5"/>
  <c r="N687" i="5"/>
  <c r="M687" i="5"/>
  <c r="N686" i="5"/>
  <c r="M686" i="5"/>
  <c r="N685" i="5"/>
  <c r="M685" i="5"/>
  <c r="N684" i="5"/>
  <c r="M684" i="5"/>
  <c r="N683" i="5"/>
  <c r="M683" i="5"/>
  <c r="N682" i="5"/>
  <c r="M682" i="5"/>
  <c r="N681" i="5"/>
  <c r="M681" i="5"/>
  <c r="N680" i="5"/>
  <c r="M680" i="5"/>
  <c r="N679" i="5"/>
  <c r="M679" i="5"/>
  <c r="N678" i="5"/>
  <c r="M678" i="5"/>
  <c r="N677" i="5"/>
  <c r="M677" i="5"/>
  <c r="N676" i="5"/>
  <c r="M676" i="5"/>
  <c r="N675" i="5"/>
  <c r="M675" i="5"/>
  <c r="N674" i="5"/>
  <c r="M674" i="5"/>
  <c r="N673" i="5"/>
  <c r="M673" i="5"/>
  <c r="N672" i="5"/>
  <c r="M672" i="5"/>
  <c r="N671" i="5"/>
  <c r="M671" i="5"/>
  <c r="N670" i="5"/>
  <c r="M670" i="5"/>
  <c r="N669" i="5"/>
  <c r="M669" i="5"/>
  <c r="N668" i="5"/>
  <c r="M668" i="5"/>
  <c r="N667" i="5"/>
  <c r="M667" i="5"/>
  <c r="N666" i="5"/>
  <c r="M666" i="5"/>
  <c r="N665" i="5"/>
  <c r="M665" i="5"/>
  <c r="N664" i="5"/>
  <c r="M664" i="5"/>
  <c r="N663" i="5"/>
  <c r="M663" i="5"/>
  <c r="N662" i="5"/>
  <c r="M662" i="5"/>
  <c r="N661" i="5"/>
  <c r="M661" i="5"/>
  <c r="N660" i="5"/>
  <c r="M660" i="5"/>
  <c r="N659" i="5"/>
  <c r="M659" i="5"/>
  <c r="N658" i="5"/>
  <c r="M658" i="5"/>
  <c r="N657" i="5"/>
  <c r="M657" i="5"/>
  <c r="N656" i="5"/>
  <c r="M656" i="5"/>
  <c r="N655" i="5"/>
  <c r="M655" i="5"/>
  <c r="N653" i="5"/>
  <c r="M653" i="5"/>
  <c r="N652" i="5"/>
  <c r="M652" i="5"/>
  <c r="N650" i="5"/>
  <c r="M650" i="5"/>
  <c r="N649" i="5"/>
  <c r="M649" i="5"/>
  <c r="N648" i="5"/>
  <c r="M648" i="5"/>
  <c r="N647" i="5"/>
  <c r="M647" i="5"/>
  <c r="N646" i="5"/>
  <c r="M646" i="5"/>
  <c r="N645" i="5"/>
  <c r="M645" i="5"/>
  <c r="N644" i="5"/>
  <c r="M644" i="5"/>
  <c r="N643" i="5"/>
  <c r="M643" i="5"/>
  <c r="N642" i="5"/>
  <c r="M642" i="5"/>
  <c r="N641" i="5"/>
  <c r="M641" i="5"/>
  <c r="N640" i="5"/>
  <c r="M640" i="5"/>
  <c r="N639" i="5"/>
  <c r="M639" i="5"/>
  <c r="N637" i="5"/>
  <c r="M637" i="5"/>
  <c r="N636" i="5"/>
  <c r="M636" i="5"/>
  <c r="N635" i="5"/>
  <c r="M635" i="5"/>
  <c r="N634" i="5"/>
  <c r="M634" i="5"/>
  <c r="N633" i="5"/>
  <c r="M633" i="5"/>
  <c r="N632" i="5"/>
  <c r="M632" i="5"/>
  <c r="N631" i="5"/>
  <c r="M631" i="5"/>
  <c r="N630" i="5"/>
  <c r="M630" i="5"/>
  <c r="N629" i="5"/>
  <c r="M629" i="5"/>
  <c r="N628" i="5"/>
  <c r="M628" i="5"/>
  <c r="N627" i="5"/>
  <c r="M627" i="5"/>
  <c r="N626" i="5"/>
  <c r="M626" i="5"/>
  <c r="N625" i="5"/>
  <c r="M625" i="5"/>
  <c r="N624" i="5"/>
  <c r="M624" i="5"/>
  <c r="N623" i="5"/>
  <c r="M623" i="5"/>
  <c r="N622" i="5"/>
  <c r="M622" i="5"/>
  <c r="N621" i="5"/>
  <c r="M621" i="5"/>
  <c r="N620" i="5"/>
  <c r="M620" i="5"/>
  <c r="N619" i="5"/>
  <c r="M619" i="5"/>
  <c r="N618" i="5"/>
  <c r="M618" i="5"/>
  <c r="N617" i="5"/>
  <c r="M617" i="5"/>
  <c r="N616" i="5"/>
  <c r="M616" i="5"/>
  <c r="N615" i="5"/>
  <c r="M615" i="5"/>
  <c r="N614" i="5"/>
  <c r="M614" i="5"/>
  <c r="N613" i="5"/>
  <c r="M613" i="5"/>
  <c r="N612" i="5"/>
  <c r="M612" i="5"/>
  <c r="N611" i="5"/>
  <c r="M611" i="5"/>
  <c r="N610" i="5"/>
  <c r="M610" i="5"/>
  <c r="N609" i="5"/>
  <c r="M609" i="5"/>
  <c r="N608" i="5"/>
  <c r="M608" i="5"/>
  <c r="N607" i="5"/>
  <c r="M607" i="5"/>
  <c r="N606" i="5"/>
  <c r="M606" i="5"/>
  <c r="N605" i="5"/>
  <c r="M605" i="5"/>
  <c r="N604" i="5"/>
  <c r="M604" i="5"/>
  <c r="N603" i="5"/>
  <c r="M603" i="5"/>
  <c r="N602" i="5"/>
  <c r="M602" i="5"/>
  <c r="N601" i="5"/>
  <c r="M601" i="5"/>
  <c r="N600" i="5"/>
  <c r="M600" i="5"/>
  <c r="N599" i="5"/>
  <c r="M599" i="5"/>
  <c r="N598" i="5"/>
  <c r="M598" i="5"/>
  <c r="N597" i="5"/>
  <c r="M597" i="5"/>
  <c r="N596" i="5"/>
  <c r="M596" i="5"/>
  <c r="N595" i="5"/>
  <c r="M595" i="5"/>
  <c r="N594" i="5"/>
  <c r="M594" i="5"/>
  <c r="N593" i="5"/>
  <c r="M593" i="5"/>
  <c r="N592" i="5"/>
  <c r="M592" i="5"/>
  <c r="N591" i="5"/>
  <c r="M591" i="5"/>
  <c r="N590" i="5"/>
  <c r="M590" i="5"/>
  <c r="N589" i="5"/>
  <c r="M589" i="5"/>
  <c r="N588" i="5"/>
  <c r="M588" i="5"/>
  <c r="N587" i="5"/>
  <c r="M587" i="5"/>
  <c r="N586" i="5"/>
  <c r="M586" i="5"/>
  <c r="O585" i="5"/>
  <c r="F585" i="5"/>
  <c r="N578" i="5"/>
  <c r="M578" i="5"/>
  <c r="N577" i="5"/>
  <c r="M577" i="5"/>
  <c r="N576" i="5"/>
  <c r="M576" i="5"/>
  <c r="N575" i="5"/>
  <c r="M575" i="5"/>
  <c r="N574" i="5"/>
  <c r="M574" i="5"/>
  <c r="N573" i="5"/>
  <c r="M573" i="5"/>
  <c r="N572" i="5"/>
  <c r="M572" i="5"/>
  <c r="N571" i="5"/>
  <c r="M571" i="5"/>
  <c r="N570" i="5"/>
  <c r="M570" i="5"/>
  <c r="N569" i="5"/>
  <c r="M569" i="5"/>
  <c r="N568" i="5"/>
  <c r="M568" i="5"/>
  <c r="N567" i="5"/>
  <c r="M567" i="5"/>
  <c r="N566" i="5"/>
  <c r="M566" i="5"/>
  <c r="N565" i="5"/>
  <c r="M565" i="5"/>
  <c r="N564" i="5"/>
  <c r="M564" i="5"/>
  <c r="N563" i="5"/>
  <c r="M563" i="5"/>
  <c r="N562" i="5"/>
  <c r="M562" i="5"/>
  <c r="N561" i="5"/>
  <c r="M561" i="5"/>
  <c r="N560" i="5"/>
  <c r="M560" i="5"/>
  <c r="N559" i="5"/>
  <c r="M559" i="5"/>
  <c r="N550" i="5"/>
  <c r="M550" i="5"/>
  <c r="N548" i="5"/>
  <c r="M548" i="5"/>
  <c r="N547" i="5"/>
  <c r="M547" i="5"/>
  <c r="N546" i="5"/>
  <c r="M546" i="5"/>
  <c r="N544" i="5"/>
  <c r="M544" i="5"/>
  <c r="N543" i="5"/>
  <c r="M543" i="5"/>
  <c r="N542" i="5"/>
  <c r="M542" i="5"/>
  <c r="N541" i="5"/>
  <c r="M541" i="5"/>
  <c r="N540" i="5"/>
  <c r="M540" i="5"/>
  <c r="N539" i="5"/>
  <c r="M539" i="5"/>
  <c r="N537" i="5"/>
  <c r="M537" i="5"/>
  <c r="N536" i="5"/>
  <c r="M536" i="5"/>
  <c r="N535" i="5"/>
  <c r="M535" i="5"/>
  <c r="N534" i="5"/>
  <c r="M534" i="5"/>
  <c r="N533" i="5"/>
  <c r="M533" i="5"/>
  <c r="N532" i="5"/>
  <c r="M532" i="5"/>
  <c r="N531" i="5"/>
  <c r="M531" i="5"/>
  <c r="N530" i="5"/>
  <c r="M530" i="5"/>
  <c r="N529" i="5"/>
  <c r="M529" i="5"/>
  <c r="N528" i="5"/>
  <c r="M528" i="5"/>
  <c r="N527" i="5"/>
  <c r="M527" i="5"/>
  <c r="N526" i="5"/>
  <c r="M526" i="5"/>
  <c r="N525" i="5"/>
  <c r="M525" i="5"/>
  <c r="N524" i="5"/>
  <c r="M524" i="5"/>
  <c r="N523" i="5"/>
  <c r="M523" i="5"/>
  <c r="N522" i="5"/>
  <c r="M522" i="5"/>
  <c r="N521" i="5"/>
  <c r="M521" i="5"/>
  <c r="N520" i="5"/>
  <c r="M520" i="5"/>
  <c r="N519" i="5"/>
  <c r="M519" i="5"/>
  <c r="N518" i="5"/>
  <c r="M518" i="5"/>
  <c r="N517" i="5"/>
  <c r="M517" i="5"/>
  <c r="N516" i="5"/>
  <c r="M516" i="5"/>
  <c r="N515" i="5"/>
  <c r="M515" i="5"/>
  <c r="N514" i="5"/>
  <c r="M514" i="5"/>
  <c r="N513" i="5"/>
  <c r="M513" i="5"/>
  <c r="N511" i="5"/>
  <c r="M511" i="5"/>
  <c r="N510" i="5"/>
  <c r="M510" i="5"/>
  <c r="N509" i="5"/>
  <c r="M509" i="5"/>
  <c r="N507" i="5"/>
  <c r="M507" i="5"/>
  <c r="N505" i="5"/>
  <c r="M505" i="5"/>
  <c r="N504" i="5"/>
  <c r="M504" i="5"/>
  <c r="N503" i="5"/>
  <c r="M503" i="5"/>
  <c r="N502" i="5"/>
  <c r="M502" i="5"/>
  <c r="N501" i="5"/>
  <c r="M501" i="5"/>
  <c r="N500" i="5"/>
  <c r="M500" i="5"/>
  <c r="N498" i="5"/>
  <c r="M498" i="5"/>
  <c r="N497" i="5"/>
  <c r="M497" i="5"/>
  <c r="N496" i="5"/>
  <c r="M496" i="5"/>
  <c r="N495" i="5"/>
  <c r="M495" i="5"/>
  <c r="N494" i="5"/>
  <c r="M494" i="5"/>
  <c r="N493" i="5"/>
  <c r="M493" i="5"/>
  <c r="N492" i="5"/>
  <c r="M492" i="5"/>
  <c r="N491" i="5"/>
  <c r="M491" i="5"/>
  <c r="N490" i="5"/>
  <c r="M490" i="5"/>
  <c r="N489" i="5"/>
  <c r="M489" i="5"/>
  <c r="N488" i="5"/>
  <c r="M488" i="5"/>
  <c r="N487" i="5"/>
  <c r="M487" i="5"/>
  <c r="N486" i="5"/>
  <c r="M486" i="5"/>
  <c r="N485" i="5"/>
  <c r="M485" i="5"/>
  <c r="N484" i="5"/>
  <c r="M484" i="5"/>
  <c r="N483" i="5"/>
  <c r="M483" i="5"/>
  <c r="N482" i="5"/>
  <c r="M482" i="5"/>
  <c r="N481" i="5"/>
  <c r="M481" i="5"/>
  <c r="N480" i="5"/>
  <c r="M480" i="5"/>
  <c r="N479" i="5"/>
  <c r="M479" i="5"/>
  <c r="N477" i="5"/>
  <c r="M477" i="5"/>
  <c r="N475" i="5"/>
  <c r="M475" i="5"/>
  <c r="N474" i="5"/>
  <c r="M474" i="5"/>
  <c r="N473" i="5"/>
  <c r="M473" i="5"/>
  <c r="N472" i="5"/>
  <c r="M472" i="5"/>
  <c r="N471" i="5"/>
  <c r="M471" i="5"/>
  <c r="N470" i="5"/>
  <c r="M470" i="5"/>
  <c r="N469" i="5"/>
  <c r="M469" i="5"/>
  <c r="N468" i="5"/>
  <c r="M468" i="5"/>
  <c r="N467" i="5"/>
  <c r="M467" i="5"/>
  <c r="N466" i="5"/>
  <c r="M466" i="5"/>
  <c r="N465" i="5"/>
  <c r="M465" i="5"/>
  <c r="N464" i="5"/>
  <c r="M464" i="5"/>
  <c r="N463" i="5"/>
  <c r="M463" i="5"/>
  <c r="N462" i="5"/>
  <c r="M462" i="5"/>
  <c r="N461" i="5"/>
  <c r="M461" i="5"/>
  <c r="N460" i="5"/>
  <c r="M460" i="5"/>
  <c r="N459" i="5"/>
  <c r="M459" i="5"/>
  <c r="N458" i="5"/>
  <c r="M458" i="5"/>
  <c r="N457" i="5"/>
  <c r="M457" i="5"/>
  <c r="N456" i="5"/>
  <c r="M456" i="5"/>
  <c r="N455" i="5"/>
  <c r="M455" i="5"/>
  <c r="N454" i="5"/>
  <c r="M454" i="5"/>
  <c r="N453" i="5"/>
  <c r="M453" i="5"/>
  <c r="N452" i="5"/>
  <c r="M452" i="5"/>
  <c r="N451" i="5"/>
  <c r="M451" i="5"/>
  <c r="N450" i="5"/>
  <c r="M450" i="5"/>
  <c r="N449" i="5"/>
  <c r="M449" i="5"/>
  <c r="N448" i="5"/>
  <c r="M448" i="5"/>
  <c r="N447" i="5"/>
  <c r="M447" i="5"/>
  <c r="N446" i="5"/>
  <c r="M446" i="5"/>
  <c r="N445" i="5"/>
  <c r="M445" i="5"/>
  <c r="N444" i="5"/>
  <c r="M444" i="5"/>
  <c r="N443" i="5"/>
  <c r="M443" i="5"/>
  <c r="N442" i="5"/>
  <c r="M442" i="5"/>
  <c r="N441" i="5"/>
  <c r="M441" i="5"/>
  <c r="N440" i="5"/>
  <c r="M440" i="5"/>
  <c r="N439" i="5"/>
  <c r="M439" i="5"/>
  <c r="N438" i="5"/>
  <c r="M438" i="5"/>
  <c r="N437" i="5"/>
  <c r="M437" i="5"/>
  <c r="N436" i="5"/>
  <c r="M436" i="5"/>
  <c r="N435" i="5"/>
  <c r="M435" i="5"/>
  <c r="N434" i="5"/>
  <c r="M434" i="5"/>
  <c r="N433" i="5"/>
  <c r="M433" i="5"/>
  <c r="N432" i="5"/>
  <c r="M432" i="5"/>
  <c r="N431" i="5"/>
  <c r="M431" i="5"/>
  <c r="N430" i="5"/>
  <c r="M430" i="5"/>
  <c r="N429" i="5"/>
  <c r="M429" i="5"/>
  <c r="N428" i="5"/>
  <c r="M428" i="5"/>
  <c r="N427" i="5"/>
  <c r="M427" i="5"/>
  <c r="N426" i="5"/>
  <c r="M426" i="5"/>
  <c r="N425" i="5"/>
  <c r="M425" i="5"/>
  <c r="N424" i="5"/>
  <c r="M424" i="5"/>
  <c r="N423" i="5"/>
  <c r="M423" i="5"/>
  <c r="N422" i="5"/>
  <c r="M422" i="5"/>
  <c r="N421" i="5"/>
  <c r="M421" i="5"/>
  <c r="N420" i="5"/>
  <c r="M420" i="5"/>
  <c r="N419" i="5"/>
  <c r="M419" i="5"/>
  <c r="N418" i="5"/>
  <c r="M418" i="5"/>
  <c r="N417" i="5"/>
  <c r="M417" i="5"/>
  <c r="N416" i="5"/>
  <c r="M416" i="5"/>
  <c r="N415" i="5"/>
  <c r="M415" i="5"/>
  <c r="N414" i="5"/>
  <c r="M414" i="5"/>
  <c r="N413" i="5"/>
  <c r="M413" i="5"/>
  <c r="N412" i="5"/>
  <c r="M412" i="5"/>
  <c r="N411" i="5"/>
  <c r="M411" i="5"/>
  <c r="N410" i="5"/>
  <c r="M410" i="5"/>
  <c r="N409" i="5"/>
  <c r="M409" i="5"/>
  <c r="N408" i="5"/>
  <c r="M408" i="5"/>
  <c r="N407" i="5"/>
  <c r="M407" i="5"/>
  <c r="N406" i="5"/>
  <c r="M406" i="5"/>
  <c r="N405" i="5"/>
  <c r="M405" i="5"/>
  <c r="N404" i="5"/>
  <c r="M404" i="5"/>
  <c r="N403" i="5"/>
  <c r="M403" i="5"/>
  <c r="N402" i="5"/>
  <c r="M402" i="5"/>
  <c r="N401" i="5"/>
  <c r="M401" i="5"/>
  <c r="N400" i="5"/>
  <c r="M400" i="5"/>
  <c r="N399" i="5"/>
  <c r="M399" i="5"/>
  <c r="N398" i="5"/>
  <c r="M398" i="5"/>
  <c r="N397" i="5"/>
  <c r="M397" i="5"/>
  <c r="N396" i="5"/>
  <c r="M396" i="5"/>
  <c r="N395" i="5"/>
  <c r="M395" i="5"/>
  <c r="N394" i="5"/>
  <c r="M394" i="5"/>
  <c r="N393" i="5"/>
  <c r="M393" i="5"/>
  <c r="N392" i="5"/>
  <c r="M392" i="5"/>
  <c r="N391" i="5"/>
  <c r="M391" i="5"/>
  <c r="N390" i="5"/>
  <c r="M390" i="5"/>
  <c r="N389" i="5"/>
  <c r="M389" i="5"/>
  <c r="N388" i="5"/>
  <c r="M388" i="5"/>
  <c r="N387" i="5"/>
  <c r="M387" i="5"/>
  <c r="N386" i="5"/>
  <c r="M386" i="5"/>
  <c r="N385" i="5"/>
  <c r="M385" i="5"/>
  <c r="N383" i="5"/>
  <c r="M383" i="5"/>
  <c r="N382" i="5"/>
  <c r="M382" i="5"/>
  <c r="N381" i="5"/>
  <c r="M381" i="5"/>
  <c r="N380" i="5"/>
  <c r="M380" i="5"/>
  <c r="N379" i="5"/>
  <c r="M379" i="5"/>
  <c r="N378" i="5"/>
  <c r="M378" i="5"/>
  <c r="N376" i="5"/>
  <c r="M376" i="5"/>
  <c r="N375" i="5"/>
  <c r="M375" i="5"/>
  <c r="N374" i="5"/>
  <c r="M374" i="5"/>
  <c r="N373" i="5"/>
  <c r="M373" i="5"/>
  <c r="N372" i="5"/>
  <c r="M372" i="5"/>
  <c r="N371" i="5"/>
  <c r="M371" i="5"/>
  <c r="N370" i="5"/>
  <c r="M370" i="5"/>
  <c r="N369" i="5"/>
  <c r="M369" i="5"/>
  <c r="N368" i="5"/>
  <c r="M368" i="5"/>
  <c r="N367" i="5"/>
  <c r="M367" i="5"/>
  <c r="N366" i="5"/>
  <c r="M366" i="5"/>
  <c r="N359" i="5"/>
  <c r="M359" i="5"/>
  <c r="N358" i="5"/>
  <c r="M358" i="5"/>
  <c r="N357" i="5"/>
  <c r="M357" i="5"/>
  <c r="N356" i="5"/>
  <c r="M356" i="5"/>
  <c r="N355" i="5"/>
  <c r="M355" i="5"/>
  <c r="N354" i="5"/>
  <c r="M354" i="5"/>
  <c r="N353" i="5"/>
  <c r="M353" i="5"/>
  <c r="N352" i="5"/>
  <c r="M352" i="5"/>
  <c r="N351" i="5"/>
  <c r="M351" i="5"/>
  <c r="N348" i="5"/>
  <c r="M348" i="5"/>
  <c r="N347" i="5"/>
  <c r="M347" i="5"/>
  <c r="N346" i="5"/>
  <c r="M346" i="5"/>
  <c r="N345" i="5"/>
  <c r="M345" i="5"/>
  <c r="N343" i="5"/>
  <c r="M343" i="5"/>
  <c r="N342" i="5"/>
  <c r="M342" i="5"/>
  <c r="N341" i="5"/>
  <c r="M341" i="5"/>
  <c r="N340" i="5"/>
  <c r="M340" i="5"/>
  <c r="N336" i="5"/>
  <c r="M336" i="5"/>
  <c r="N335" i="5"/>
  <c r="M335" i="5"/>
  <c r="N334" i="5"/>
  <c r="M334" i="5"/>
  <c r="N333" i="5"/>
  <c r="M333" i="5"/>
  <c r="N331" i="5"/>
  <c r="M331" i="5"/>
  <c r="N330" i="5"/>
  <c r="M330" i="5"/>
  <c r="N329" i="5"/>
  <c r="M329" i="5"/>
  <c r="N326" i="5"/>
  <c r="M326" i="5"/>
  <c r="N325" i="5"/>
  <c r="M325" i="5"/>
  <c r="N324" i="5"/>
  <c r="M324" i="5"/>
  <c r="N323" i="5"/>
  <c r="M323" i="5"/>
  <c r="N322" i="5"/>
  <c r="M322" i="5"/>
  <c r="N321" i="5"/>
  <c r="M321" i="5"/>
  <c r="N320" i="5"/>
  <c r="M320" i="5"/>
  <c r="N319" i="5"/>
  <c r="M319" i="5"/>
  <c r="N318" i="5"/>
  <c r="M318" i="5"/>
  <c r="N317" i="5"/>
  <c r="M317" i="5"/>
  <c r="N316" i="5"/>
  <c r="M316" i="5"/>
  <c r="N315" i="5"/>
  <c r="M315" i="5"/>
  <c r="N314" i="5"/>
  <c r="M314" i="5"/>
  <c r="M313" i="5"/>
  <c r="N312" i="5"/>
  <c r="M312" i="5"/>
  <c r="N311" i="5"/>
  <c r="M311" i="5"/>
  <c r="N310" i="5"/>
  <c r="M310" i="5"/>
  <c r="N309" i="5"/>
  <c r="M309" i="5"/>
  <c r="N308" i="5"/>
  <c r="M308" i="5"/>
  <c r="N307" i="5"/>
  <c r="M307" i="5"/>
  <c r="N306" i="5"/>
  <c r="M306" i="5"/>
  <c r="N305" i="5"/>
  <c r="M305" i="5"/>
  <c r="N304" i="5"/>
  <c r="M304" i="5"/>
  <c r="N303" i="5"/>
  <c r="M303" i="5"/>
  <c r="N302" i="5"/>
  <c r="M302" i="5"/>
  <c r="N301" i="5"/>
  <c r="M301" i="5"/>
  <c r="N299" i="5"/>
  <c r="M299" i="5"/>
  <c r="N298" i="5"/>
  <c r="M298" i="5"/>
  <c r="N297" i="5"/>
  <c r="M297" i="5"/>
  <c r="N296" i="5"/>
  <c r="M296" i="5"/>
  <c r="N295" i="5"/>
  <c r="M295" i="5"/>
  <c r="O294" i="5"/>
  <c r="F294" i="5"/>
  <c r="N293" i="5"/>
  <c r="M293" i="5"/>
  <c r="N292" i="5"/>
  <c r="M292" i="5"/>
  <c r="N291" i="5"/>
  <c r="M291" i="5"/>
  <c r="N290" i="5"/>
  <c r="M290" i="5"/>
  <c r="N289" i="5"/>
  <c r="M289" i="5"/>
  <c r="N288" i="5"/>
  <c r="M288" i="5"/>
  <c r="N287" i="5"/>
  <c r="M287" i="5"/>
  <c r="N286" i="5"/>
  <c r="M286" i="5"/>
  <c r="N285" i="5"/>
  <c r="M285" i="5"/>
  <c r="N284" i="5"/>
  <c r="M284" i="5"/>
  <c r="O283" i="5"/>
  <c r="F283" i="5"/>
  <c r="N282" i="5"/>
  <c r="M282" i="5"/>
  <c r="N281" i="5"/>
  <c r="M281" i="5"/>
  <c r="N280" i="5"/>
  <c r="M280" i="5"/>
  <c r="N279" i="5"/>
  <c r="M279" i="5"/>
  <c r="N278" i="5"/>
  <c r="M278" i="5"/>
  <c r="N277" i="5"/>
  <c r="M277" i="5"/>
  <c r="N276" i="5"/>
  <c r="M276" i="5"/>
  <c r="N274" i="5"/>
  <c r="M274" i="5"/>
  <c r="N273" i="5"/>
  <c r="M273" i="5"/>
  <c r="N271" i="5"/>
  <c r="M271" i="5"/>
  <c r="N270" i="5"/>
  <c r="M270" i="5"/>
  <c r="N269" i="5"/>
  <c r="M269" i="5"/>
  <c r="N268" i="5"/>
  <c r="M268" i="5"/>
  <c r="N267" i="5"/>
  <c r="M267" i="5"/>
  <c r="N266" i="5"/>
  <c r="M266" i="5"/>
  <c r="N265" i="5"/>
  <c r="M265" i="5"/>
  <c r="N264" i="5"/>
  <c r="M264" i="5"/>
  <c r="N263" i="5"/>
  <c r="M263" i="5"/>
  <c r="N262" i="5"/>
  <c r="M262" i="5"/>
  <c r="N261" i="5"/>
  <c r="M261" i="5"/>
  <c r="N260" i="5"/>
  <c r="M260" i="5"/>
  <c r="N259" i="5"/>
  <c r="M259" i="5"/>
  <c r="N258" i="5"/>
  <c r="M258" i="5"/>
  <c r="N257" i="5"/>
  <c r="M257" i="5"/>
  <c r="N256" i="5"/>
  <c r="M256" i="5"/>
  <c r="N255" i="5"/>
  <c r="M255" i="5"/>
  <c r="M254" i="5"/>
  <c r="N253" i="5"/>
  <c r="M253" i="5"/>
  <c r="N252" i="5"/>
  <c r="M252" i="5"/>
  <c r="N251" i="5"/>
  <c r="M251" i="5"/>
  <c r="N250" i="5"/>
  <c r="M250" i="5"/>
  <c r="N249" i="5"/>
  <c r="M249" i="5"/>
  <c r="N248" i="5"/>
  <c r="M248" i="5"/>
  <c r="N247" i="5"/>
  <c r="M247" i="5"/>
  <c r="N246" i="5"/>
  <c r="M246" i="5"/>
  <c r="N245" i="5"/>
  <c r="M245" i="5"/>
  <c r="O244" i="5"/>
  <c r="F244" i="5"/>
  <c r="N243" i="5"/>
  <c r="M243" i="5"/>
  <c r="N242" i="5"/>
  <c r="M242" i="5"/>
  <c r="N241" i="5"/>
  <c r="M241" i="5"/>
  <c r="N240" i="5"/>
  <c r="M240" i="5"/>
  <c r="N239" i="5"/>
  <c r="M239" i="5"/>
  <c r="N238" i="5"/>
  <c r="M238" i="5"/>
  <c r="N237" i="5"/>
  <c r="M237" i="5"/>
  <c r="N236" i="5"/>
  <c r="M236" i="5"/>
  <c r="N235" i="5"/>
  <c r="M235" i="5"/>
  <c r="N234" i="5"/>
  <c r="M234" i="5"/>
  <c r="N233" i="5"/>
  <c r="M233" i="5"/>
  <c r="N232" i="5"/>
  <c r="M232" i="5"/>
  <c r="N231" i="5"/>
  <c r="M231" i="5"/>
  <c r="N230" i="5"/>
  <c r="M230" i="5"/>
  <c r="N229" i="5"/>
  <c r="M229" i="5"/>
  <c r="N228" i="5"/>
  <c r="M228" i="5"/>
  <c r="N227" i="5"/>
  <c r="M227" i="5"/>
  <c r="N226" i="5"/>
  <c r="M226" i="5"/>
  <c r="N225" i="5"/>
  <c r="M225" i="5"/>
  <c r="N224" i="5"/>
  <c r="M224" i="5"/>
  <c r="N223" i="5"/>
  <c r="M223" i="5"/>
  <c r="N222" i="5"/>
  <c r="M222" i="5"/>
  <c r="N221" i="5"/>
  <c r="M221" i="5"/>
  <c r="N220" i="5"/>
  <c r="M220" i="5"/>
  <c r="N219" i="5"/>
  <c r="M219" i="5"/>
  <c r="N218" i="5"/>
  <c r="M218" i="5"/>
  <c r="N217" i="5"/>
  <c r="M217" i="5"/>
  <c r="N216" i="5"/>
  <c r="M216" i="5"/>
  <c r="N215" i="5"/>
  <c r="M215" i="5"/>
  <c r="N214" i="5"/>
  <c r="M214" i="5"/>
  <c r="N213" i="5"/>
  <c r="M213" i="5"/>
  <c r="N212" i="5"/>
  <c r="M212" i="5"/>
  <c r="N211" i="5"/>
  <c r="M211" i="5"/>
  <c r="N210" i="5"/>
  <c r="M210" i="5"/>
  <c r="N209" i="5"/>
  <c r="M209" i="5"/>
  <c r="N208" i="5"/>
  <c r="M208" i="5"/>
  <c r="N206" i="5"/>
  <c r="M206" i="5"/>
  <c r="N205" i="5"/>
  <c r="M205" i="5"/>
  <c r="N204" i="5"/>
  <c r="M204" i="5"/>
  <c r="N203" i="5"/>
  <c r="M203" i="5"/>
  <c r="N202" i="5"/>
  <c r="M202" i="5"/>
  <c r="N201" i="5"/>
  <c r="M201" i="5"/>
  <c r="N200" i="5"/>
  <c r="M200" i="5"/>
  <c r="N199" i="5"/>
  <c r="M199" i="5"/>
  <c r="N198" i="5"/>
  <c r="M198" i="5"/>
  <c r="N197" i="5"/>
  <c r="M197" i="5"/>
  <c r="N196" i="5"/>
  <c r="M196" i="5"/>
  <c r="N195" i="5"/>
  <c r="M195" i="5"/>
  <c r="N194" i="5"/>
  <c r="M194" i="5"/>
  <c r="N193" i="5"/>
  <c r="M193" i="5"/>
  <c r="N192" i="5"/>
  <c r="M192" i="5"/>
  <c r="N191" i="5"/>
  <c r="M191" i="5"/>
  <c r="N190" i="5"/>
  <c r="M190" i="5"/>
  <c r="N189" i="5"/>
  <c r="M189" i="5"/>
  <c r="N188" i="5"/>
  <c r="M188" i="5"/>
  <c r="N187" i="5"/>
  <c r="M187" i="5"/>
  <c r="N186" i="5"/>
  <c r="M186" i="5"/>
  <c r="N185" i="5"/>
  <c r="M185" i="5"/>
  <c r="N184" i="5"/>
  <c r="M184" i="5"/>
  <c r="N182" i="5"/>
  <c r="M182" i="5"/>
  <c r="N181" i="5"/>
  <c r="M181" i="5"/>
  <c r="N180" i="5"/>
  <c r="M180" i="5"/>
  <c r="N178" i="5"/>
  <c r="M178" i="5"/>
  <c r="N177" i="5"/>
  <c r="M177" i="5"/>
  <c r="N176" i="5"/>
  <c r="M176" i="5"/>
  <c r="N175" i="5"/>
  <c r="M175" i="5"/>
  <c r="O179" i="5"/>
  <c r="F174" i="5"/>
  <c r="N172" i="5"/>
  <c r="M172" i="5"/>
  <c r="N171" i="5"/>
  <c r="M171" i="5"/>
  <c r="N170" i="5"/>
  <c r="M170" i="5"/>
  <c r="N168" i="5"/>
  <c r="M168" i="5"/>
  <c r="N167" i="5"/>
  <c r="M167" i="5"/>
  <c r="N166" i="5"/>
  <c r="M166" i="5"/>
  <c r="N165" i="5"/>
  <c r="M165" i="5"/>
  <c r="N164" i="5"/>
  <c r="M164" i="5"/>
  <c r="N163" i="5"/>
  <c r="M163" i="5"/>
  <c r="N162" i="5"/>
  <c r="M162" i="5"/>
  <c r="N161" i="5"/>
  <c r="M161" i="5"/>
  <c r="N160" i="5"/>
  <c r="M160" i="5"/>
  <c r="N159" i="5"/>
  <c r="M159" i="5"/>
  <c r="N158" i="5"/>
  <c r="M158" i="5"/>
  <c r="N157" i="5"/>
  <c r="M157" i="5"/>
  <c r="N156" i="5"/>
  <c r="M156" i="5"/>
  <c r="N155" i="5"/>
  <c r="M155" i="5"/>
  <c r="N154" i="5"/>
  <c r="M154" i="5"/>
  <c r="N153" i="5"/>
  <c r="M153" i="5"/>
  <c r="N152" i="5"/>
  <c r="M152" i="5"/>
  <c r="N151" i="5"/>
  <c r="M151" i="5"/>
  <c r="N149" i="5"/>
  <c r="M149" i="5"/>
  <c r="N148" i="5"/>
  <c r="M148" i="5"/>
  <c r="N147" i="5"/>
  <c r="M147" i="5"/>
  <c r="N146" i="5"/>
  <c r="M146" i="5"/>
  <c r="N145" i="5"/>
  <c r="M145" i="5"/>
  <c r="N144" i="5"/>
  <c r="M144" i="5"/>
  <c r="N143" i="5"/>
  <c r="M143" i="5"/>
  <c r="N142" i="5"/>
  <c r="M142" i="5"/>
  <c r="N141" i="5"/>
  <c r="M141" i="5"/>
  <c r="N139" i="5"/>
  <c r="M139" i="5"/>
  <c r="N138" i="5"/>
  <c r="M138" i="5"/>
  <c r="N136" i="5"/>
  <c r="M136" i="5"/>
  <c r="N135" i="5"/>
  <c r="M135" i="5"/>
  <c r="N134" i="5"/>
  <c r="M134" i="5"/>
  <c r="N133" i="5"/>
  <c r="M133" i="5"/>
  <c r="N132" i="5"/>
  <c r="M132" i="5"/>
  <c r="N131" i="5"/>
  <c r="M131" i="5"/>
  <c r="N130" i="5"/>
  <c r="M130" i="5"/>
  <c r="M129" i="5"/>
  <c r="N128" i="5"/>
  <c r="M128" i="5"/>
  <c r="N126" i="5"/>
  <c r="M126" i="5"/>
  <c r="N124" i="5"/>
  <c r="M124" i="5"/>
  <c r="N123" i="5"/>
  <c r="M123" i="5"/>
  <c r="N122" i="5"/>
  <c r="M122" i="5"/>
  <c r="N120" i="5"/>
  <c r="M120" i="5"/>
  <c r="N119" i="5"/>
  <c r="M119" i="5"/>
  <c r="N118" i="5"/>
  <c r="M118" i="5"/>
  <c r="N117" i="5"/>
  <c r="M117" i="5"/>
  <c r="N116" i="5"/>
  <c r="M116" i="5"/>
  <c r="N115" i="5"/>
  <c r="M115" i="5"/>
  <c r="N113" i="5"/>
  <c r="M113" i="5"/>
  <c r="N112" i="5"/>
  <c r="M112" i="5"/>
  <c r="N111" i="5"/>
  <c r="M111" i="5"/>
  <c r="N110" i="5"/>
  <c r="M110" i="5"/>
  <c r="N109" i="5"/>
  <c r="M109" i="5"/>
  <c r="N108" i="5"/>
  <c r="M108" i="5"/>
  <c r="N107" i="5"/>
  <c r="M107" i="5"/>
  <c r="N106" i="5"/>
  <c r="M106" i="5"/>
  <c r="O114" i="5"/>
  <c r="N105" i="5"/>
  <c r="M105" i="5"/>
  <c r="N104" i="5"/>
  <c r="M104" i="5"/>
  <c r="N103" i="5"/>
  <c r="M103" i="5"/>
  <c r="N102" i="5"/>
  <c r="M102" i="5"/>
  <c r="N101" i="5"/>
  <c r="M101" i="5"/>
  <c r="N100" i="5"/>
  <c r="M100" i="5"/>
  <c r="N99" i="5"/>
  <c r="M99" i="5"/>
  <c r="N98" i="5"/>
  <c r="M98" i="5"/>
  <c r="N97" i="5"/>
  <c r="M97" i="5"/>
  <c r="N96" i="5"/>
  <c r="M96" i="5"/>
  <c r="N95" i="5"/>
  <c r="M95" i="5"/>
  <c r="N94" i="5"/>
  <c r="M94" i="5"/>
  <c r="N93" i="5"/>
  <c r="M93" i="5"/>
  <c r="N92" i="5"/>
  <c r="M92" i="5"/>
  <c r="N91" i="5"/>
  <c r="M91" i="5"/>
  <c r="N90" i="5"/>
  <c r="M90" i="5"/>
  <c r="N89" i="5"/>
  <c r="M89" i="5"/>
  <c r="N88" i="5"/>
  <c r="M88" i="5"/>
  <c r="N87" i="5"/>
  <c r="M87" i="5"/>
  <c r="N85" i="5"/>
  <c r="M85" i="5"/>
  <c r="N84" i="5"/>
  <c r="M84" i="5"/>
  <c r="N83" i="5"/>
  <c r="M83" i="5"/>
  <c r="N82" i="5"/>
  <c r="M82" i="5"/>
  <c r="O81" i="5"/>
  <c r="F81" i="5"/>
  <c r="N80" i="5"/>
  <c r="M80" i="5"/>
  <c r="N79" i="5"/>
  <c r="M79" i="5"/>
  <c r="N78" i="5"/>
  <c r="M78" i="5"/>
  <c r="N77" i="5"/>
  <c r="M77" i="5"/>
  <c r="N76" i="5"/>
  <c r="M76" i="5"/>
  <c r="N75" i="5"/>
  <c r="M75" i="5"/>
  <c r="N74" i="5"/>
  <c r="M74" i="5"/>
  <c r="N73" i="5"/>
  <c r="M73" i="5"/>
  <c r="N72" i="5"/>
  <c r="M72" i="5"/>
  <c r="N71" i="5"/>
  <c r="M71" i="5"/>
  <c r="N70" i="5"/>
  <c r="M70" i="5"/>
  <c r="N69" i="5"/>
  <c r="M69" i="5"/>
  <c r="N68" i="5"/>
  <c r="M68" i="5"/>
  <c r="N67" i="5"/>
  <c r="M67" i="5"/>
  <c r="N65" i="5"/>
  <c r="M65" i="5"/>
  <c r="N64" i="5"/>
  <c r="M64" i="5"/>
  <c r="N61" i="5"/>
  <c r="M61" i="5"/>
  <c r="N60" i="5"/>
  <c r="M60" i="5"/>
  <c r="N59" i="5"/>
  <c r="M59" i="5"/>
  <c r="N58" i="5"/>
  <c r="M58" i="5"/>
  <c r="N57" i="5"/>
  <c r="M57" i="5"/>
  <c r="N56" i="5"/>
  <c r="M56" i="5"/>
  <c r="M1532" i="5" l="1"/>
  <c r="M244" i="5"/>
  <c r="M294" i="5"/>
  <c r="M81" i="5"/>
  <c r="M969" i="5"/>
  <c r="O693" i="5"/>
  <c r="M1021" i="5"/>
  <c r="O1024" i="5"/>
  <c r="M1368" i="5"/>
  <c r="O1370" i="5"/>
  <c r="M283" i="5"/>
  <c r="O328" i="5"/>
  <c r="N1046" i="5"/>
  <c r="N1162" i="5"/>
  <c r="N1164" i="5"/>
  <c r="N1290" i="5"/>
  <c r="O1451" i="5"/>
  <c r="O86" i="5"/>
  <c r="O1510" i="5"/>
  <c r="O1540" i="5"/>
  <c r="O1755" i="5"/>
  <c r="N1477" i="5"/>
  <c r="N1532" i="5"/>
  <c r="O137" i="5"/>
  <c r="O275" i="5"/>
  <c r="O1007" i="5"/>
  <c r="O1214" i="5"/>
  <c r="O1480" i="5"/>
  <c r="N254" i="5"/>
  <c r="N283" i="5"/>
  <c r="N969" i="5"/>
  <c r="N1338" i="5"/>
  <c r="N294" i="5"/>
  <c r="N1368" i="5"/>
  <c r="N81" i="5"/>
  <c r="N244" i="5"/>
  <c r="N313" i="5"/>
  <c r="N1020" i="5"/>
  <c r="N1021" i="5"/>
  <c r="N174" i="5"/>
  <c r="N300" i="5"/>
  <c r="N1742" i="5"/>
  <c r="N129" i="5"/>
  <c r="M174" i="5"/>
  <c r="N272" i="5"/>
  <c r="M300" i="5"/>
  <c r="N585" i="5"/>
  <c r="N1509" i="5"/>
  <c r="M1742" i="5"/>
  <c r="M272" i="5"/>
  <c r="M585" i="5"/>
  <c r="M889" i="5"/>
  <c r="M1020" i="5"/>
  <c r="O2087" i="5" l="1"/>
</calcChain>
</file>

<file path=xl/comments1.xml><?xml version="1.0" encoding="utf-8"?>
<comments xmlns="http://schemas.openxmlformats.org/spreadsheetml/2006/main">
  <authors>
    <author>Автор</author>
  </authors>
  <commentList>
    <comment ref="F2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Исключить 1 шт, останется 3:
4-1=3
Спиридонова 29.07.25</t>
        </r>
      </text>
    </comment>
  </commentList>
</comments>
</file>

<file path=xl/sharedStrings.xml><?xml version="1.0" encoding="utf-8"?>
<sst xmlns="http://schemas.openxmlformats.org/spreadsheetml/2006/main" count="16213" uniqueCount="4617">
  <si>
    <t>ШТ</t>
  </si>
  <si>
    <t>Отвод 90-133х4-20 Г17375</t>
  </si>
  <si>
    <t>Труба 34х4 В 20 Г8734-75 Г8733-74</t>
  </si>
  <si>
    <t>Т</t>
  </si>
  <si>
    <t>Труба 57х6 В 20 Г8732-78 8731-74</t>
  </si>
  <si>
    <t>Труба 45х3,5 В 20 Г8732-78 8731-74</t>
  </si>
  <si>
    <t>Труба 89х4 В 20 оцинк. Г10704 10705</t>
  </si>
  <si>
    <t>Труба 57x3,5 В 20 оцинк. Г10704 10705</t>
  </si>
  <si>
    <t>КГ</t>
  </si>
  <si>
    <t>Труба 108x3,5 В 20 оцинк. Г10704 10705</t>
  </si>
  <si>
    <t>Труба 159x4,5 В 20 оцинк. Г10704 10705</t>
  </si>
  <si>
    <t>Предохранитель концевой DHEC 2400</t>
  </si>
  <si>
    <t>Трансформатор тока ТПЛ-10-100/5</t>
  </si>
  <si>
    <t>Отвод 90-219х8-20 Г17375 оцинк.</t>
  </si>
  <si>
    <t>Переход К-133х4-57х3-20 оцинк. Г17378</t>
  </si>
  <si>
    <t>Халат раб.жен.х/б р.120-124/158-164</t>
  </si>
  <si>
    <t>Коробка протяжная У996</t>
  </si>
  <si>
    <t>М</t>
  </si>
  <si>
    <t>Горелка ЭИВ-01-И L600</t>
  </si>
  <si>
    <t>Свеча зажигания СП-06ВП-3</t>
  </si>
  <si>
    <t>Отвод 90-273х7-20 Г17375 оцинк.</t>
  </si>
  <si>
    <t>Блок питания AD5101А Aswega</t>
  </si>
  <si>
    <t>Маслопровод ВД В 60860140 для ГТД-6РМ</t>
  </si>
  <si>
    <t>Маслопровод ВД В 60860150 для ГТД-6РМ</t>
  </si>
  <si>
    <t>Маслопровод ВД В 60860150-01 для ГТД-6РМ</t>
  </si>
  <si>
    <t>Садко 107 ТЖИУ.406423.009.01 10-40кПа</t>
  </si>
  <si>
    <t>Счётчик VA2305МA-1-1-25-D-1-1-100</t>
  </si>
  <si>
    <t>Преобразователь VLT Danfoss 131H8794</t>
  </si>
  <si>
    <t>КМП</t>
  </si>
  <si>
    <t>Счетчик электроэнергии Меркурий 230 (10</t>
  </si>
  <si>
    <t>Отвод 60-133х9-20 Г17375</t>
  </si>
  <si>
    <t>Кран Bohmer BBF/KSF-V Ду300 Ру40 SA07.6</t>
  </si>
  <si>
    <t>Затвор BFC600W2/GS Ду600 Ру25 А Vexve</t>
  </si>
  <si>
    <t>Переход ПК-219х6-133х4-20 Г17378</t>
  </si>
  <si>
    <t>Отвод 90-530х12-20 Г30753</t>
  </si>
  <si>
    <t>Клапан V277-015 Ду15 Pу16</t>
  </si>
  <si>
    <t>Датчик герконовый ДГКИ-02-02.2</t>
  </si>
  <si>
    <t>Вставка плавкая ППН-37-х0-00УХЛ3-200-2</t>
  </si>
  <si>
    <t>Датчик давл. КРТ-5-2-1,0-1,0</t>
  </si>
  <si>
    <t>Переход К-38х2-25х2-20 оцинк. Г17378</t>
  </si>
  <si>
    <t>Халат раб.жен.х/б р.120-124/170-176</t>
  </si>
  <si>
    <t>Клапан ПСК-50Пс/50</t>
  </si>
  <si>
    <t>Отвод 90-45х3-20 Г17375 оцинк.</t>
  </si>
  <si>
    <t>Отвод 45-325х10-20 Г17375</t>
  </si>
  <si>
    <t>SA-94/3-C-3-ЕК-080/н-Ф/Ф-Т-2-1-2/н-1-5</t>
  </si>
  <si>
    <t>Отвод 90-38х2,5-20 Г17375 оцинк.</t>
  </si>
  <si>
    <t>Кран VE-РАСКО-НЗ-1,6-G1/2-М20</t>
  </si>
  <si>
    <t>Комплект монтаж. Ду20 7пр. Ogint A012-20</t>
  </si>
  <si>
    <t>Sensors DMP 331 110-1002-1-3-100-500-1</t>
  </si>
  <si>
    <t>Отвод 90-1-168,3х7,1-20 Г17375 оцинк.</t>
  </si>
  <si>
    <t>Переход К-1-114,3х6,3-76,1х5-20 оцинк.</t>
  </si>
  <si>
    <t>Переход К-1-114,3х6,3-88,9х5,6-20 оцинк.</t>
  </si>
  <si>
    <t>УПК</t>
  </si>
  <si>
    <t>Л</t>
  </si>
  <si>
    <t>Отвод 45-76х3,5-20 Г17375</t>
  </si>
  <si>
    <t>Мановакуумметр МВ-5000</t>
  </si>
  <si>
    <t>Колено 90-720х11-2,5 156 09Г2С</t>
  </si>
  <si>
    <t>Блок индикации микропроцессорный БИМ-01</t>
  </si>
  <si>
    <t>Щит Kaedra 4 мод. 200x123x112 SE 13976</t>
  </si>
  <si>
    <t>Шайба А.05.02.ст3кп.09 Г11371-78(DIN125)</t>
  </si>
  <si>
    <t>Переход К-1-168,3х7,1-114,3х6,3-20 оцин.</t>
  </si>
  <si>
    <t>Переход К-38х2-32х2-20 оцинк. Г17378</t>
  </si>
  <si>
    <t>Переход К-76х3,5-57х3-20 оцинк. Г17378</t>
  </si>
  <si>
    <t>Клапан 998-20-0 Ду20 Ру373 ЧЗЭМ</t>
  </si>
  <si>
    <t>Шайба 18.02.09 Г11371-80</t>
  </si>
  <si>
    <t>Переход К-1-33,7х3,2-21,3х3,2-20 Г17378</t>
  </si>
  <si>
    <t>Шайба плоская М24 DIN 9021</t>
  </si>
  <si>
    <t>Модуль ввода AI810 ABB 3BSE008516R1</t>
  </si>
  <si>
    <t>Переход К-219х10-168х8-20 оцинк. Г17378</t>
  </si>
  <si>
    <t>Шайба А.10.02.ст3кп.09 Г11371 (DIN 125)</t>
  </si>
  <si>
    <t>Изолятор ИО-10-3,75-1 У3 В/В предохр.</t>
  </si>
  <si>
    <t>Датчик-реле давл. ДЕМ 102-2-02-2</t>
  </si>
  <si>
    <t>Халат раб.жен.х/б р.104-108/182-188</t>
  </si>
  <si>
    <t>Кронштейн настенный для флага тройной</t>
  </si>
  <si>
    <t>Шайба А.10.02.ст3кп Г11371-78 (DIN125)</t>
  </si>
  <si>
    <t>Шайба C.10.02.Ст3кп Г11371-80 DIN125</t>
  </si>
  <si>
    <t>МИДА-ДИ-13П-У2-0,5-0,1МПа-01-М20-П</t>
  </si>
  <si>
    <t>Халат раб.жен.х/б р.104-108/158-164</t>
  </si>
  <si>
    <t>Средство Karcher RM 69 ASF 20л</t>
  </si>
  <si>
    <t>Sensors DMP 331 110-1602-1-3-100-100-1</t>
  </si>
  <si>
    <t>Горелка для газосв. Малютка</t>
  </si>
  <si>
    <t>Переход К-133х8-114х6-20 оцинк. Г17378</t>
  </si>
  <si>
    <t>Халат раб.жен.х/б р.96-100/170-176</t>
  </si>
  <si>
    <t>М-55-ДИ-515-МП-t1-050-1,6МПа-42-М20-С</t>
  </si>
  <si>
    <t>Шайба А.6.01.10кп.016 Г11371-80 DIN125</t>
  </si>
  <si>
    <t>Комплект наконечников 3шт SE 31563</t>
  </si>
  <si>
    <t>Ручка дверная золото Нора-М 117</t>
  </si>
  <si>
    <t>Шайба С.12.02.Ст3кп Г11371-80 DIN125</t>
  </si>
  <si>
    <t>Отвод 90-1-42,4х2,6-20 Г17375</t>
  </si>
  <si>
    <t>Отвод 90-1-48,3х2,6-20 Г17375</t>
  </si>
  <si>
    <t>Средство Master Contact Spray 400мл</t>
  </si>
  <si>
    <t>Переход К-168х8-89х6-20 оцинк. Г17378</t>
  </si>
  <si>
    <t>Фланец 1-400-25 ст. 20 Г12820-80</t>
  </si>
  <si>
    <t>Болт М8х20мм ГОСТ 7805-70</t>
  </si>
  <si>
    <t>Крышка лотка 2000х100х15 DKC 35512</t>
  </si>
  <si>
    <t>Прокладка ПФ-34-00-141х87х2</t>
  </si>
  <si>
    <t>Трансформатор тока Т-0,66-М УЗ 200/5</t>
  </si>
  <si>
    <t>Винт М6х10 с п/кр. гол.</t>
  </si>
  <si>
    <t>Телефон Siemens Euroset 5020</t>
  </si>
  <si>
    <t>Асбест А-7-450</t>
  </si>
  <si>
    <t>Шайба оцинк. А.8.01.10кп.016 Г11371-80</t>
  </si>
  <si>
    <t>Кнопка Mosaic Legrand 79230</t>
  </si>
  <si>
    <t>Крышка короба Panduit Т-70 T70CAW2 2м</t>
  </si>
  <si>
    <t>Кнопка Legrand Mosaic 79240</t>
  </si>
  <si>
    <t>Редуктор пропановый балонный БПО-5-4</t>
  </si>
  <si>
    <t>Держатель CТ25G 25мм с дюбелем Экопласт</t>
  </si>
  <si>
    <t>Шайба C.6.02.Ст3кп Г11371-80 DIN125</t>
  </si>
  <si>
    <t>Хомут с рез. пр. М8 32-36 Alpha-co</t>
  </si>
  <si>
    <t>Механизм Mosaic 2К+З Legrand 77213</t>
  </si>
  <si>
    <t>Шайба А.16.01.10кп.016 Г11371-80 DIN125</t>
  </si>
  <si>
    <t>Отвод 90-219х6-20 Г17375 оцинк.</t>
  </si>
  <si>
    <t>Реле давления РДД-2-X 2R BD</t>
  </si>
  <si>
    <t>Стекло натриевое жидкое Г13078-81</t>
  </si>
  <si>
    <t>Колпак защитный д/газовых бал. ун.</t>
  </si>
  <si>
    <t>Шайба 12 65Г Г6402-70 DIN127</t>
  </si>
  <si>
    <t>М2</t>
  </si>
  <si>
    <t>Винт самонар. 3,5х55 для ГКЛ, кр. рез.</t>
  </si>
  <si>
    <t>Зажим соединит.-изолир. СИЗ-2 100шт/уп</t>
  </si>
  <si>
    <t>Плата логики и управления V07 GE</t>
  </si>
  <si>
    <t>Гнездо СКРП-31 315А</t>
  </si>
  <si>
    <t>Стекло к очкам сварщика Г-3</t>
  </si>
  <si>
    <t>Крышка лотка 3000х50х15мм DKC 35520</t>
  </si>
  <si>
    <t>Пульт накопительный НП-4А</t>
  </si>
  <si>
    <t>Ниппель универсальный 6/9мм</t>
  </si>
  <si>
    <t>Муфта чугунная Ду-025</t>
  </si>
  <si>
    <t>Электрод ЦЧ-4-ф3 НАКС</t>
  </si>
  <si>
    <t>Резьба Ду-015 оцинк.</t>
  </si>
  <si>
    <t>Фитинг (нипель) лат. Ду-32</t>
  </si>
  <si>
    <t>Дюбель ''Бабочка'' 10х50 500шт/уп</t>
  </si>
  <si>
    <t>Фитинг (нипель) лат. Ду-25</t>
  </si>
  <si>
    <t>Крышка лотка 2000х50х15мм DKC 35510</t>
  </si>
  <si>
    <t>Труба 159х6 В 20 Г8732 Г8731 оцинк.</t>
  </si>
  <si>
    <t>Отводы 426*9мм</t>
  </si>
  <si>
    <t>Болт М36-6gх200.58 (S55) Г7798-70</t>
  </si>
  <si>
    <t>Сетка стальная сварная 50х50х4 Г23279-85</t>
  </si>
  <si>
    <t>Угольник 90-1-20 Г8946-75</t>
  </si>
  <si>
    <t>Резьба Ду-025 оцинк.</t>
  </si>
  <si>
    <t>Угольник 90-1-32 Г8946-75</t>
  </si>
  <si>
    <t>Датчик СДВ-И-D-1,60МПа-4-20мА-D3422-0605</t>
  </si>
  <si>
    <t>Жир паяльный</t>
  </si>
  <si>
    <t>Шайба зубчатая DIN6798A</t>
  </si>
  <si>
    <t>Материал</t>
  </si>
  <si>
    <t>Краткий текст материала</t>
  </si>
  <si>
    <t>Базисная ЕИ</t>
  </si>
  <si>
    <t>Подшипник 180609 ГОСТ 8882-75</t>
  </si>
  <si>
    <t>ВИС.Т ТС-200-2-3-1-1 Ду40/40</t>
  </si>
  <si>
    <t>Клапан 1256.20.00 Ду20 Ру16</t>
  </si>
  <si>
    <t>Клапан MSV-F2 Ду100 Ру16 003Z1064</t>
  </si>
  <si>
    <t>Автомат газогорелочный LMG 21.330.B27</t>
  </si>
  <si>
    <t>Подшипник 314 ГОСТ 8338-75</t>
  </si>
  <si>
    <t>Блок управления горелкой ГБГ-0,6</t>
  </si>
  <si>
    <t>Электрод КЭ-исп.01-700</t>
  </si>
  <si>
    <t>ТСМУ-205-/250-(0+100)С-0,5%</t>
  </si>
  <si>
    <t>Труба КАСАФЛЕКС 66/125 1,6МПа 160С СОДК</t>
  </si>
  <si>
    <t>Труба КАСАФЛЕКС 86/145 1,6МПа 160С СОДК</t>
  </si>
  <si>
    <t>Труба КАСАФЛЕКС 55/110 1,6МПа 160С СОДК</t>
  </si>
  <si>
    <t>М-100-ДД-1495-02-МП1-t1-050-63кПа-42-С</t>
  </si>
  <si>
    <t>Дифманометр мембранный ДМЭУ-МИ 630 кгс/м</t>
  </si>
  <si>
    <t>Механизм исп. МЭО-100/63</t>
  </si>
  <si>
    <t>Модуль Allen Bradley 1203-GD1</t>
  </si>
  <si>
    <t>М-100-ДИВ-1311-02-МП1-t1-015-0,315кПа-42</t>
  </si>
  <si>
    <t>Датчик уровня Эхо-5Н-1,5-31-2,5-0-4-20-Б</t>
  </si>
  <si>
    <t>Механизм исп. МЭО-250/63-0,25У-99-У2</t>
  </si>
  <si>
    <t>Клапан D04FM-3/4А</t>
  </si>
  <si>
    <t>Термопреобразователь ТСМ-296.02.01 200мм</t>
  </si>
  <si>
    <t>Датчик факела горелки УДФ</t>
  </si>
  <si>
    <t>М-100-ДГ-1531-02-МП1-t10-050-25кПа-42</t>
  </si>
  <si>
    <t>М-100-ДД-1495-02-МП1-t1-015-25кПа-42-М20</t>
  </si>
  <si>
    <t>Труба Касафлекс 86/145 1,6МПа 135 ОДК</t>
  </si>
  <si>
    <t>Труба Касафлекс 55/110 1,6МПа 135 ОДК</t>
  </si>
  <si>
    <t>Реле РПЛ-122 220В</t>
  </si>
  <si>
    <t>Реле РПЛ-131 220В</t>
  </si>
  <si>
    <t>Блок питания Omron S8VS-03024</t>
  </si>
  <si>
    <t>Контактор МК6-30ТУХЛ3 250-400А 220В 50Гц</t>
  </si>
  <si>
    <t>Комплект фланцев воротник. Ду150 Ру16</t>
  </si>
  <si>
    <t>Дифманометр ДМ 3583М 0-6,3 кПа-1-У3</t>
  </si>
  <si>
    <t>Реле РЭП37-221-УХЛ4 220В</t>
  </si>
  <si>
    <t>Блок ручного управления БРУ-42-03</t>
  </si>
  <si>
    <t>М-100-Ех-ДИ-1141-02-МП1-t1-050-10кПа-42</t>
  </si>
  <si>
    <t>Контактор TeSys D LC1-D150M7 150А SE</t>
  </si>
  <si>
    <t>DMP 343 100-XXXX-1-100-100-00R 0,315кПа</t>
  </si>
  <si>
    <t>Тягонапоромер ТНМП-52-М2-40кПа-1,5-У3</t>
  </si>
  <si>
    <t>М-100-Ex-ДИ-1161-11-МП1-t10-015-1,0МПа</t>
  </si>
  <si>
    <t>Механизм исп. МЭО-100/10-0,25</t>
  </si>
  <si>
    <t>DMP 343 100-XXXX-1-100-100-00R-40+40мбар</t>
  </si>
  <si>
    <t>DMP 343 100-XXXX-1-8-100-100-00R3,15мбар</t>
  </si>
  <si>
    <t>Кран Vexve 154 251 Ду250 Ру25 м/ред</t>
  </si>
  <si>
    <t>Блок управления ГБЖ-08-04.03.000-01</t>
  </si>
  <si>
    <t>М-150CD1(0-630кгс/м2)2211L3AM5IMD9C1K04</t>
  </si>
  <si>
    <t>М-100-ДИ-1151-11-МП1-t1-050-1МПа-42-М20</t>
  </si>
  <si>
    <t>Подшипник 180314 ГОСТ 8882-75</t>
  </si>
  <si>
    <t>Подшипник 180605 ГОСТ 8882-75</t>
  </si>
  <si>
    <t>Подшипник 2317К1 ГОСТ 8328-75</t>
  </si>
  <si>
    <t>Подшипник 36318 ГОСТ 831-75</t>
  </si>
  <si>
    <t>Подшипник 7526 ГОСТ 520-2002</t>
  </si>
  <si>
    <t>Подшипник 6-2313М1 ГОСТ 8328-75</t>
  </si>
  <si>
    <t>Подшипник 208 ГОСТ 8338-75</t>
  </si>
  <si>
    <t>Подшипник 76-180610К1С9Ш1 ГОСТ 8882-75</t>
  </si>
  <si>
    <t>Подшипник 2312Л ГОСТ 8328-75</t>
  </si>
  <si>
    <t>Подшипник 308А,,</t>
  </si>
  <si>
    <t>Подшипн.№ 305А,,</t>
  </si>
  <si>
    <t>Контактор КТИ-5265 265А 400В ИЭК</t>
  </si>
  <si>
    <t>Реле ПЭ 37-42 220В</t>
  </si>
  <si>
    <t>DMP 343 100-0100-1-8-100-100-00R</t>
  </si>
  <si>
    <t>Подшипник 6316 SKF</t>
  </si>
  <si>
    <t>Регулятор Минитерм 400.00</t>
  </si>
  <si>
    <t>Подшипник 70-317А</t>
  </si>
  <si>
    <t>Напоромер НМП-52-М2-6кПа-2,5-У3</t>
  </si>
  <si>
    <t>Подшипник 310 ГОСТ 8338-75</t>
  </si>
  <si>
    <t>Подшипник 609 SKF</t>
  </si>
  <si>
    <t>Подшипник 180610 ГОСТ 8882-75</t>
  </si>
  <si>
    <t>Подшипник 180612 ГОСТ 8882-75</t>
  </si>
  <si>
    <t>Подшипник 2312 ГОСТ 8328-75</t>
  </si>
  <si>
    <t>Подшипник 3620 ГОСТ 5721-75</t>
  </si>
  <si>
    <t>Подшипник 316 ГОСТ 8338-75</t>
  </si>
  <si>
    <t>Напоромер НМП-52-М2-6кПа-(2,5-1,5-2,5)</t>
  </si>
  <si>
    <t>Кран Ду150 Ру25 КШТ.69.102.150 H1470</t>
  </si>
  <si>
    <t>Подшипник 180313 ГОСТ 8882-75</t>
  </si>
  <si>
    <t>ДМ8008-Вуф исп2 0+1,0кгс/см2-1,5-М20</t>
  </si>
  <si>
    <t>Трансформатор ОС 33-730 УХЛ2 220/7500</t>
  </si>
  <si>
    <t>Механизм исп. МЭО-40/63-0,25У-01</t>
  </si>
  <si>
    <t>Мановакуумметр МВ-2500</t>
  </si>
  <si>
    <t>Сигнализатор СТГ1-2Д10В</t>
  </si>
  <si>
    <t>Прибор контроля пламени Ф34-2</t>
  </si>
  <si>
    <t>Горелка ЭИВ-01 L750</t>
  </si>
  <si>
    <t>ВИС.Т ТС-201-3-3-2-1 Ду100/100</t>
  </si>
  <si>
    <t>Удлинение штока Ду1000 H1900 КМС-М</t>
  </si>
  <si>
    <t>Отводы 920*14мм</t>
  </si>
  <si>
    <t>Кран шаровой под приварку Ду 1000мм реду</t>
  </si>
  <si>
    <t>Адаптер связи Allen-Bradley 1747-ACN15</t>
  </si>
  <si>
    <t>Модуль вв/выв Allen-Bradley 1746-NIO4I</t>
  </si>
  <si>
    <t>Модуль Allen-Bradley 3150-MCM</t>
  </si>
  <si>
    <t>Кран шаровой Ду 900 мм полнопроходной с</t>
  </si>
  <si>
    <t>Насос T-65B/2 ф174 5,5/3000</t>
  </si>
  <si>
    <t>R-3051-L-2-A-G0-Q-D-21-A-B-M5-QG</t>
  </si>
  <si>
    <t>ВИС.Т ТС-201-0-2-1-1 Ду25/25</t>
  </si>
  <si>
    <t>Отвод Ст 630х12-15-1-ППУ-ПЭ L761/1597</t>
  </si>
  <si>
    <t>Отвод Ст 630х12-15-1-ППУ-ПЭ L761/761</t>
  </si>
  <si>
    <t>Подшипник 6209 SKF</t>
  </si>
  <si>
    <t>Электрозапальник газовый ЭЗ.00 L700</t>
  </si>
  <si>
    <t>Переход К-920х12-820х12 1,6МПа ТС-585-48</t>
  </si>
  <si>
    <t>Прибор контр. пламени Ф34-2 с 2 датч. ФД</t>
  </si>
  <si>
    <t>Патрубок Ду80 СП Компитал</t>
  </si>
  <si>
    <t>ВИС.Т ТС-201-0-2-1-1 Ду100/100</t>
  </si>
  <si>
    <t>ВИС.Т ТС-201-0-2-1-1 Ду80/80</t>
  </si>
  <si>
    <t>Выкл. авт. АЕ2056М-100У3 3п 50А</t>
  </si>
  <si>
    <t>Удлинение штока Ду600 H1900 КМС-М</t>
  </si>
  <si>
    <t>Задвижка Гранар серии KR11 Ду200 Ру16</t>
  </si>
  <si>
    <t>Пускатель ПМА-3200 380В 40А</t>
  </si>
  <si>
    <t>Муфта термоус. ф 200</t>
  </si>
  <si>
    <t>Трансформатор тока Т-0,66 200/5 5ВА 0,5</t>
  </si>
  <si>
    <t>Трансформатор тока Т-0,66 300/5 5ВА 0,5</t>
  </si>
  <si>
    <t>Трансформатор тока Т-0,66 100/5 5ВА 0,5</t>
  </si>
  <si>
    <t>Трансформатор тока Т-0,66 150/5 5ВА 0,5</t>
  </si>
  <si>
    <t>Шкурка шлиф.</t>
  </si>
  <si>
    <t>Камень БР 100.30.15 Г6665-91</t>
  </si>
  <si>
    <t>Щит ЩСУ-3 2200х800х600 №7/16-07/7-ЭМ.Н</t>
  </si>
  <si>
    <t>Шкаф ШПЧ 3-9 проект №6-182-ПП/12-АСУ</t>
  </si>
  <si>
    <t>Шкаф ШПЧ 3-11 проект №6-182-ПП/12-АСУ</t>
  </si>
  <si>
    <t>Датчик ДН-2,5 0,04-2,5кПа</t>
  </si>
  <si>
    <t>Механизм МЭО-250/63-0,25У02Б</t>
  </si>
  <si>
    <t>Датчик ДТ-40 0,4-40кПа</t>
  </si>
  <si>
    <t>Счётчик Меркурий-230 АМ-00 5-7,5А</t>
  </si>
  <si>
    <t>ВИС.Т ТС-200-2-2-1-1 Ду50/50</t>
  </si>
  <si>
    <t>Блок 003 SA-94 Aswega</t>
  </si>
  <si>
    <t>Механизм исп. МЭО-250/25-0,25У-99 компл.</t>
  </si>
  <si>
    <t>Счётчик Меркурий-230 ART-01 MCLN</t>
  </si>
  <si>
    <t>Модуль Allen-Bradley 1203-SM1</t>
  </si>
  <si>
    <t>Вычислитель расхода УВП-280Б+ГП</t>
  </si>
  <si>
    <t>Модуль ввода SLC500 1746-NI8 AB</t>
  </si>
  <si>
    <t>Модуль ввода Allen-Bradley 1746-IA16</t>
  </si>
  <si>
    <t>Регулятор РА-В-80-80-1-СЧ-1,6-150-У1</t>
  </si>
  <si>
    <t>Прибор микропр. Трансформер-ML МСС</t>
  </si>
  <si>
    <t>Блок 002 SA-94 Aswega</t>
  </si>
  <si>
    <t>Антенна АП1-900</t>
  </si>
  <si>
    <t>Прибор Трансформер-ML МВ БП24-5</t>
  </si>
  <si>
    <t>Компенсатор сальниковый Ду700мм</t>
  </si>
  <si>
    <t>Компенсатор сальниковый Ду400мм</t>
  </si>
  <si>
    <t>Модуль вывода Allen-Bradley 1746-OB32</t>
  </si>
  <si>
    <t>Модуль Allen-Bradley 1747-SCNR</t>
  </si>
  <si>
    <t>Модуль ввода Allen-Bradley 1746-NI4</t>
  </si>
  <si>
    <t>Модуль вывода Allen-Bradley 1746-NO4I</t>
  </si>
  <si>
    <t>Модуль сканера Allen-Bradley 1747-SN</t>
  </si>
  <si>
    <t>Модуль адаптера Allen-Bradley 1747-ASB</t>
  </si>
  <si>
    <t>Блок Allen-Bradley 80026-121-01-R</t>
  </si>
  <si>
    <t>Комплекс измер.СГ-ЭКВз-Т-0,75-1600/1,6</t>
  </si>
  <si>
    <t>Устройство ДМС-250Н 185кВт 380В 50Гц</t>
  </si>
  <si>
    <t>Модуль ввода Allen-Bradley 1746-IM16</t>
  </si>
  <si>
    <t>Отвод Ст 1220х12-75-1-ППУ-ПЭ Г30732</t>
  </si>
  <si>
    <t>Модуль Allen-Bradley 1746-OW16</t>
  </si>
  <si>
    <t>Модуль вывода DO16r-220FC</t>
  </si>
  <si>
    <t>Модуль интерфейса ABB IMICV01</t>
  </si>
  <si>
    <t>Модуль сетевой интерфейсный ABB INNIS21</t>
  </si>
  <si>
    <t>Модуль вывода Текон DO16s-220DC</t>
  </si>
  <si>
    <t>Модуль аналогового вывода Текон AOC8</t>
  </si>
  <si>
    <t>Б/У Кран КМС-М.ШК300.00 Ду300/254 Ру25</t>
  </si>
  <si>
    <t>Модуль дискретных выходов ABB IMDSO14</t>
  </si>
  <si>
    <t>Труба Ст 1220х12-1-ППУ-ПЭ мерная МЗИ</t>
  </si>
  <si>
    <t>Фильтр Viledon Compact Т60</t>
  </si>
  <si>
    <t>Переход К-219х6-159х4,5-20 оцинк. Г17378</t>
  </si>
  <si>
    <t>Детектор LDS аккумуляторный 9В</t>
  </si>
  <si>
    <t>Колено УФ 150 Г5525-88</t>
  </si>
  <si>
    <t>Набор прокладок M-71 Grasso 959000321N</t>
  </si>
  <si>
    <t>Комплект упл. М.22500СЭ.0103.1013.060</t>
  </si>
  <si>
    <t>Комплект упл. М.221250СЭ.0103.1013.090</t>
  </si>
  <si>
    <t>Труба водост.L3м ф150/100 Пурал RAL 9010</t>
  </si>
  <si>
    <t>Устройство защиты S-ET 10 Systemair 5154</t>
  </si>
  <si>
    <t>Модуль ввода Siemens 6ES7331-7PF11-0AB0</t>
  </si>
  <si>
    <t>Модуль Siemens 6ES7321-7BH01-0AB0</t>
  </si>
  <si>
    <t>Модуль Siemens 6ES7332-7ND02-0AB0</t>
  </si>
  <si>
    <t>Модуль Siemens 6ES7322-5HF00-0AB0</t>
  </si>
  <si>
    <t>Модуль Siemens 6ES7350-1AH03-0AE0</t>
  </si>
  <si>
    <t>Процессор Siemens 6ES7341-1CH02-0AE0</t>
  </si>
  <si>
    <t>Модуль Siemens 6ES7326-2BF10-0AB0</t>
  </si>
  <si>
    <t>Модуль Siemens 6ES7326-1BK02-0AB0</t>
  </si>
  <si>
    <t>Насос 1АХ-65-40-200-К-СД 15/2900</t>
  </si>
  <si>
    <t>Насос К-80-50-200 15/2900</t>
  </si>
  <si>
    <t>Плата цифр. вх. DI 650 3BHT300025R1</t>
  </si>
  <si>
    <t>Насос АХП-50-32-200б-К-2,0-СД-У2 7,5/290</t>
  </si>
  <si>
    <t>Тахометр с модулем ввод/выв. 318030-56</t>
  </si>
  <si>
    <t>Плата анал. вх. AI 625 3BHT300036R1</t>
  </si>
  <si>
    <t>Насос НЦВС-63/20М 8,0/2900</t>
  </si>
  <si>
    <t>Устройство контроля 318030-55</t>
  </si>
  <si>
    <t>Насос Leistritz L3MF-70/182</t>
  </si>
  <si>
    <t>Насос ДП-10/100ЭК14В 0,37/1500</t>
  </si>
  <si>
    <t>Плата анал. вх. AI 625 3BHT300011R1</t>
  </si>
  <si>
    <t>Насос Wilo TOP-RL-30/4-EM 0,07/2660</t>
  </si>
  <si>
    <t>Плата счётчика DP620 3BHT300016R1</t>
  </si>
  <si>
    <t>М-150TG1(0-40кПа)2G21AM52F2B1K01PA</t>
  </si>
  <si>
    <t>Насос Wilo Star-RS 25/4 0,017/2200</t>
  </si>
  <si>
    <t>Плата анал. вх. AI 635 3BHT300032R1</t>
  </si>
  <si>
    <t>Плата цифр. вых. DO 625 3BHT30007R1</t>
  </si>
  <si>
    <t>Модуль процессора PM150V08 3BSE009598R1</t>
  </si>
  <si>
    <t>Модуль анал. смешан. AX670 3BSE000566R1</t>
  </si>
  <si>
    <t>Насос АНМТ-100/8 УХЛ1 3/1410</t>
  </si>
  <si>
    <t>Агрегат ПЭНА-70-90 315/3000</t>
  </si>
  <si>
    <t>Насос АЦМС-Н4016-4 4/2900</t>
  </si>
  <si>
    <t>Модуль анал. вых. AO650 3BHT300051R1</t>
  </si>
  <si>
    <t>Эл.двигатель АИР 100Л4 4/1500</t>
  </si>
  <si>
    <t>Клапан отсечной электромагн. КЭО-80Г Ду-</t>
  </si>
  <si>
    <t>Э/дв ас. 5АИ160М6У2 15/965 IM1081 2p=6</t>
  </si>
  <si>
    <t>Модуль вывода аналоговых сигналов AO810</t>
  </si>
  <si>
    <t>Блок электронный БЭ для аппаратуры СВКА</t>
  </si>
  <si>
    <t>Возбудитель ВБД-40-3000 У3</t>
  </si>
  <si>
    <t>Соединение надземное ИС-159 Ду159 Ру16</t>
  </si>
  <si>
    <t>Вибровставка Ду 200</t>
  </si>
  <si>
    <t>Электомагнитный клапан ВН 3/4Н-4К</t>
  </si>
  <si>
    <t>Крышка ответвителя DРТ DKC 38042</t>
  </si>
  <si>
    <t>Элемент фильтрующий ELT-110 CF04</t>
  </si>
  <si>
    <t>Элемент фильтр. ABZFE-HO160-03-1X/M-DIM</t>
  </si>
  <si>
    <t>Элемент фил к BFD 330.980 Ду125 №3846718</t>
  </si>
  <si>
    <t>Труба водост. ф125/90 L1м Пурал RR20</t>
  </si>
  <si>
    <t>Панель приборная ПП-2,5</t>
  </si>
  <si>
    <t>Крышка угла CD90 DKC 38240</t>
  </si>
  <si>
    <t>Крышка угла CS90 DKC 38200</t>
  </si>
  <si>
    <t>Модуль ввода Siemens 6ES7331-7NF10-0AB0</t>
  </si>
  <si>
    <t>Модуль ввода Siemens 6ES7331-7PF01-0AB0</t>
  </si>
  <si>
    <t>Модуль Siemens 6ES7195-7KF00-0XA0</t>
  </si>
  <si>
    <t>Заглушка Ду150 Ру16 ДАРЦ 495115.000-04</t>
  </si>
  <si>
    <t>Плата NGDR-03C ABB 58976539</t>
  </si>
  <si>
    <t>Насос К 100-80-160 (11,0/3000)</t>
  </si>
  <si>
    <t>Плата NPOW-62C ABB 64113429</t>
  </si>
  <si>
    <t>М-150CD3(0-160кПа)2211L3AM5S5K01PA к/б</t>
  </si>
  <si>
    <t>Манометр с капс. чувст.элем.,0-60 mbar</t>
  </si>
  <si>
    <t>М-150CD2(0-16кПа)2211L3AM5D9K01PA к/б</t>
  </si>
  <si>
    <t>Кран шаровый NAVAL регулирующий Ду125</t>
  </si>
  <si>
    <t>Кран шаровый NAVAL газовый Ду150</t>
  </si>
  <si>
    <t>Горелка ГБ-2,7 БКМЗ</t>
  </si>
  <si>
    <t>Э/дв ас. 1LG4206-2AA60-Z 30/3000</t>
  </si>
  <si>
    <t>Ячейка QV-Flow IS1000 Swan А-83.411.111</t>
  </si>
  <si>
    <t>Устройство WI-ISB</t>
  </si>
  <si>
    <t>Угол вертикальный CD90 DKC 36780</t>
  </si>
  <si>
    <t>Модуль Siemens 6ES7336-4GE00-0AB0</t>
  </si>
  <si>
    <t>Площадка НС-101 20х20 100шт/уп KSS</t>
  </si>
  <si>
    <t>Элемент фильтр. ELT-Z-0880-API-PF025-V</t>
  </si>
  <si>
    <t>Элемент фильтрующий ELT-920</t>
  </si>
  <si>
    <t>Угол вертикальный CS90 DKC 36660</t>
  </si>
  <si>
    <t>Пульт управления NDSC-02C ABB 64560930</t>
  </si>
  <si>
    <t>Модуль ввода\вывода AI825</t>
  </si>
  <si>
    <t>Подшипник 7220CTRDULP3 NSK</t>
  </si>
  <si>
    <t>Крышка ответвителя DРТ DKC 38040</t>
  </si>
  <si>
    <t>Ответвитель Т-образный DPT DKC 36120</t>
  </si>
  <si>
    <t>Элемент фильтр. 2.0160 H3XL-B00-0-M</t>
  </si>
  <si>
    <t>Головка кнопки M22-DRL-G Moeller 216948</t>
  </si>
  <si>
    <t>Гильза надвижная 110 Т нерж. КТЗ</t>
  </si>
  <si>
    <t>Гильза надвижная 140 Т нерж. КТЗ</t>
  </si>
  <si>
    <t>Гильза надвижная 160 Т нерж. КТЗ</t>
  </si>
  <si>
    <t>Крышка угла CPO90 DKC 38000</t>
  </si>
  <si>
    <t>Элемент фильтр. 2.0160 H3XL-AOO-O-M</t>
  </si>
  <si>
    <t>Крышка угла CD90 DKC 38242</t>
  </si>
  <si>
    <t>Плата AC-POW-4 MD ABB 42000553</t>
  </si>
  <si>
    <t>Плата NGPS-13C ABB 3AUA0000042489</t>
  </si>
  <si>
    <t>Комплект удл. 5-ти жил. кабеля NYM 5х1,5</t>
  </si>
  <si>
    <t>Секция 168х4-1,0-РГ правая</t>
  </si>
  <si>
    <t>Ремкомплект АТЭК.491174.003НЖ-01 п/к</t>
  </si>
  <si>
    <t>Фильтр SA115G1L03A MP Filtri</t>
  </si>
  <si>
    <t>Элемент фильтрующий ELT-120</t>
  </si>
  <si>
    <t>Крышка лотка 3000х150х15мм DKC 35523</t>
  </si>
  <si>
    <t>Элемент фильтр. HP065-1-A10AN MP Filtri</t>
  </si>
  <si>
    <t>Элемент фильтр. MF100-2-P10NB MP Filtri</t>
  </si>
  <si>
    <t>Тягонапоромер ТНМП-52-М2+/-0,3кПа-2,5</t>
  </si>
  <si>
    <t>Элемент фильтрующий ELT-9594/2</t>
  </si>
  <si>
    <t>Элемент фильтрующий G7 XP 1140</t>
  </si>
  <si>
    <t>Труба водост. ф125/90 L3м Пурал RR20</t>
  </si>
  <si>
    <t>Профиль PSM 3000х2,5мм DKC 34181</t>
  </si>
  <si>
    <t>Фильтрующий элемент G7 ZP 1140</t>
  </si>
  <si>
    <t>Фильтр грубой очистки Hi-Cap 90/35-66 G4</t>
  </si>
  <si>
    <t>Фильтр MPK 410-31 GT GTU Н10</t>
  </si>
  <si>
    <t>Фильтр Hi-Flo M6 F6 Camfil Farr 535025A1</t>
  </si>
  <si>
    <t>Фильтр GTD 65 KR-8/600 SG GTU F6</t>
  </si>
  <si>
    <t>Масло ред. MOBIL SHC 630</t>
  </si>
  <si>
    <t>ВИС.Т ТС-400-4-4-2-1 Ду50/50+50/50</t>
  </si>
  <si>
    <t>ВИС.Т ТС-401-5-5-3-1-Е Ду100/100+150/100</t>
  </si>
  <si>
    <t>ВИС.Т ТС-400-4-4-2-1 Ду40/40+50/50</t>
  </si>
  <si>
    <t>ВИС.Т ТС-401-5-5-3-1-Е Ду40/40+32/32</t>
  </si>
  <si>
    <t>ВИС.Т ТС-500-5-6-3-1 Ду40/40+50/50+40</t>
  </si>
  <si>
    <t>ВИС.Т ТС-400-4-5-2-0 Ду40/40+50/50</t>
  </si>
  <si>
    <t>ВИС.Т ТС-201-3-3-2-1 Ду50/25</t>
  </si>
  <si>
    <t>ВИС.Т ТС-200-2-2-1-1 Ду100/100</t>
  </si>
  <si>
    <t>ВИС.Т ТС-500-5-6-3-1 Ду40/40+80/80+25</t>
  </si>
  <si>
    <t>Б/У Счётчик VA2305M-1-0-25-D-0,1-2</t>
  </si>
  <si>
    <t>Б/У Счётчик VA2305M-1-0-100-D-1,0-2</t>
  </si>
  <si>
    <t>Ремкомплект FL 150х300-SRS 2200766</t>
  </si>
  <si>
    <t>Б/У ВИС.Т ТС-200-2-2-1-1 Ду50/50</t>
  </si>
  <si>
    <t>Б/У ВИС.Т ТС-200-3-3-2-1 Ду80/80</t>
  </si>
  <si>
    <t>Б/У ВИС.Т ТС-200-3-3-2-1 Ду100/100</t>
  </si>
  <si>
    <t>Б/У SA-94/2М-3-ПРН-025/025-Ф/Ф-Т-2-1-2/н</t>
  </si>
  <si>
    <t>Б/У ВИС.Т ТС-200-2-2-1-1 Ду25/25</t>
  </si>
  <si>
    <t>Б/У Расходомер Взлёт ЭР ЭРСВ-420Л Ду32</t>
  </si>
  <si>
    <t>Б/УРСМ-05.07-ПРП-50-50-0-0-0-0-0-0-1-2-2</t>
  </si>
  <si>
    <t>Б/У Расходомер Взлёт ЭР ЭРСВ-420Л Ду100</t>
  </si>
  <si>
    <t>Б/У Преобр.расхПРЭМ-20-L0-0-0-B1 сэндвич</t>
  </si>
  <si>
    <t>Б/УРСМ-05.07-ПРП-80-80-0-0-0-0-0-0-1-2-2</t>
  </si>
  <si>
    <t>Б/У ВИС.Т ТС-401-5-6-2-0-Е Ду80/80+40/40</t>
  </si>
  <si>
    <t>Б/У ВИС.Т ТС-300-3-4-2-1 Ду40/40+25</t>
  </si>
  <si>
    <t>Б/У SA-94/1-3-ПРН-050-ФЛ-Т-1-2-1</t>
  </si>
  <si>
    <t>Б/У ВИС.Т ТС-401-5-5-3-1-Е Ду40/40+25/25</t>
  </si>
  <si>
    <t>Б/У ВИС.Т ТС-401-5-5-3-1-Е 100/100+50/40</t>
  </si>
  <si>
    <t>Б/У ВИС.Т ТС-401-5-5-3-1-Е Ду40/40+50/50</t>
  </si>
  <si>
    <t>Б/У КМ-5-2-С-2ПР25-В1-ИСП1-Ф-0-pt100-0Р-</t>
  </si>
  <si>
    <t>Б/У ВИС.Т ТС-401-5-5-3-1-Е Ду50/50+40/40</t>
  </si>
  <si>
    <t>Б/У ВИС.Т ТС-401-5-5-3-1-Е Ду80/80+80/80</t>
  </si>
  <si>
    <t>Плата ИС Е/4</t>
  </si>
  <si>
    <t>ВИС.Т ТС-401-5-5-3-1-Е Ду32/32+32/25</t>
  </si>
  <si>
    <t>ВИС.Т ТС-401-5-5-3-1-Е Ду32/32+25/25</t>
  </si>
  <si>
    <t>ВИС.Т ТС-500-5-6-3-1 Ду40/40+50/50+25</t>
  </si>
  <si>
    <t>ВИС.Т ТС-301-4-4-3-1-Е Ду50/50+40</t>
  </si>
  <si>
    <t>ВИС.Т ТС-301-4-4-3-1-Е Ду50/50+25</t>
  </si>
  <si>
    <t>ВИС.Т ТС-200-2-2-1-1 Ду80/80</t>
  </si>
  <si>
    <t>Б/У КМ-5-4-С-2ПР25-В1-ИСП1-Ф-0-pt100-0Р-</t>
  </si>
  <si>
    <t>Б/У Счётчик VA2305M-1-0-40-D-0,2-2</t>
  </si>
  <si>
    <t>Б/У SA-94/2М-3-ПРН-050/050-Ф/Ф-Т-2-1-2/н</t>
  </si>
  <si>
    <t>Б/У КМ-5-2-С-2ПР32-В1-ИСП1-Ф-0-pt100-0Р-</t>
  </si>
  <si>
    <t>Б/У Расходомер Взлёт ЭР ЭРСВ-430Л Ду32</t>
  </si>
  <si>
    <t>Б/У КМ-5-1-С-1ПР32/нет-В1-ИСП1-Ф-0-П100-</t>
  </si>
  <si>
    <t>Б/У ВИС.Т ТС-401-5-5-3-0-Е Ду50/50+50/50</t>
  </si>
  <si>
    <t>Б/У ВИС.Т ТС-401-5-5-3-1-Е Ду50/50+80/50</t>
  </si>
  <si>
    <t>Б/У КМ-5-4-С-2ПР50/32-В1-ИСП1-Ф-0-pt100-</t>
  </si>
  <si>
    <t>Б/У Счётчик VA2305M-1-0-80-D-1,0-2</t>
  </si>
  <si>
    <t>Б/У ВИС.Т ТС-401-5-5-3-1-Е 100/100+80/50</t>
  </si>
  <si>
    <t>Б/У ВИС.Т ТС-401-5-5-3-1-Е Ду40/40+50/40</t>
  </si>
  <si>
    <t>Б/У ВИС.Т ТС-401-5-5-3-1-Е Ду40/40+40/40</t>
  </si>
  <si>
    <t>КМ-5-1-С-1ПР65/нет-В1-ИСП1-Ф-0-П100-0Р</t>
  </si>
  <si>
    <t>ВИС.Т ТС-301-4-4-3-1-Е Ду40/40+25</t>
  </si>
  <si>
    <t>ВИС.Т ТС-400-4-5-2-1 Ду40/40+25/25</t>
  </si>
  <si>
    <t>Б/У Счётчик VA2305M-1-0-50-D-0,25-2</t>
  </si>
  <si>
    <t>Б/У ВИС.Т ТС-401-5-5-3-1-Е Ду80/80+50/40</t>
  </si>
  <si>
    <t>Б/У ВИС.Т ТС-401-5-5-3-1-Е Ду100/100+100</t>
  </si>
  <si>
    <t>Б/У ВИС.Т ТС-401-5-5-3-1-Е Ду50/50+40/25</t>
  </si>
  <si>
    <t>Б/У ВИС.Т ТС-401-5-5-3-1-Е 100/100+80/80</t>
  </si>
  <si>
    <t>Б/У РСМ-05.07-ПРП-100-100-0-0-0-0-0-0-1-</t>
  </si>
  <si>
    <t>Б/У КМ-5-4-С-2ПР50/40-В1-ИСП1-Ф-0-pt100-</t>
  </si>
  <si>
    <t>Б/У КМ-5-4-С-2ПР80/50-В1-ИСП1-Ф-0-pt100-</t>
  </si>
  <si>
    <t>Б/У КМ-5-4-С-2ПР65-В1-ИСП1-Ф-0-pt100-0Р-</t>
  </si>
  <si>
    <t>Плата ПМ КСПД-5 в 3</t>
  </si>
  <si>
    <t>Модем М33 G</t>
  </si>
  <si>
    <t>Б/У Расходомер Взлёт ЭР ЭРСВ-420Л Ду80</t>
  </si>
  <si>
    <t>Б/У SA-94/2М-3-ПРН-080/080-Ф/Ф-Т-2-1-1/н</t>
  </si>
  <si>
    <t>Б/У КМ-5-4-С-2ПР100/80-В1-ИСП1-Ф-0-pt100</t>
  </si>
  <si>
    <t>Б/У КМ-5-4-С-2ПР65/50-В1-ИСП1-Ф-0-pt100-</t>
  </si>
  <si>
    <t>Б/У ВИС.Т ТС-401-5-5-3-1-Е Ду50/50+50/50</t>
  </si>
  <si>
    <t>Б/У ВИС.Т ТС-401-5-5-3-1-Е Ду50/50+50/40</t>
  </si>
  <si>
    <t>Б/У ВИС.Т ТС-401-5-5-3-1-Е Ду80/80+80/50</t>
  </si>
  <si>
    <t>Б/У КМ-5-4-С-2ПР32-В1-ИСП1-Ф-0-pt100-0Р-</t>
  </si>
  <si>
    <t>Б/У КМ-5-2-С-2ПР40-В1-ИСП1-Ф-0-pt100-0Р-</t>
  </si>
  <si>
    <t>Б/У ВИС.Т ТС-401-5-5-3-1-Е Ду80/80+50/50</t>
  </si>
  <si>
    <t>ВИС.Т ТС-400-4-5-2-1 Ду40/40+40/25</t>
  </si>
  <si>
    <t>Плата ВАУМ.687254.122-04</t>
  </si>
  <si>
    <t>Б/У Расходомер Взлёт ЭР ЭРСВ-420Л Ду50</t>
  </si>
  <si>
    <t>Б/У КМ-5-4-С-2ПР80-В1-ИСП1-Ф-0-pt100-0Р-</t>
  </si>
  <si>
    <t>Плата ВАУМ.687254.122-05</t>
  </si>
  <si>
    <t>Б/У КМ-5-4-С-2ПР100-В1-ИСП1-Ф-0-pt100-0Р</t>
  </si>
  <si>
    <t>Б/У Преобр.расхПРЭМ-32-L0-0-0-B1 сэндвич</t>
  </si>
  <si>
    <t>Тестер кабельный Актаком АСМ-1003</t>
  </si>
  <si>
    <t>Контроллер КСПД-5 с БП</t>
  </si>
  <si>
    <t>Б/У КМ-5-2-С-2ПР65-В1-ИСП1-Ф-0-pt100-0Р-</t>
  </si>
  <si>
    <t>Б/У КМ-5-2-С-2ПР100-В1-ИСП1-Ф-0-pt100-0Р</t>
  </si>
  <si>
    <t>Б/У КМ-5-4-С-2ПР40-В1-ИСП1-Ф-0-pt100-0Р-</t>
  </si>
  <si>
    <t>Платформа подключения КМ-5</t>
  </si>
  <si>
    <t>Модем AnCom RM/D 143/000</t>
  </si>
  <si>
    <t>SA-94/3A-6-C-ЕК-100/н-2,5-Ф/Ф-Т-2-1-1н-1</t>
  </si>
  <si>
    <t>Б/У Преобр.расхПРЭМ-50-L0-0-0-B1 сэндвич</t>
  </si>
  <si>
    <t>Б/У Вычислитель ВКТ-7-04-0-0-0</t>
  </si>
  <si>
    <t>Б/У КМ-5-2-С-2ПР80-В1-ИСП1-Ф-0-pt100-0Р-</t>
  </si>
  <si>
    <t>Б/У Блок ИВБ-106</t>
  </si>
  <si>
    <t>Б/У КМ-5-4-С-2ПР50-В1-ИСП1-Ф-0-pt100-0Р-</t>
  </si>
  <si>
    <t>Б/У КМ-5-2-С-2ПР50-В1-ИСП1-Ф-0-pt100-0Р-</t>
  </si>
  <si>
    <t>Модем AnCom RM/D 133/000</t>
  </si>
  <si>
    <t>Панель КСПД-5-G</t>
  </si>
  <si>
    <t>Компенсатор 500-25-450 ТС-579.00.000-14</t>
  </si>
  <si>
    <t>Затвор поворотный ADAMS ф.200 мм с редук</t>
  </si>
  <si>
    <t>Узел сил к ф600</t>
  </si>
  <si>
    <t>Задвижка 30с964нж Ду150 Ру25 В под э/п</t>
  </si>
  <si>
    <t>Адрес Склада</t>
  </si>
  <si>
    <t>Номер пп</t>
  </si>
  <si>
    <t>Дата приобретения</t>
  </si>
  <si>
    <t>2013г</t>
  </si>
  <si>
    <t>31.12.2014</t>
  </si>
  <si>
    <t>2010г</t>
  </si>
  <si>
    <t>11.2013г.</t>
  </si>
  <si>
    <t>2012г.</t>
  </si>
  <si>
    <t>08.2015г.</t>
  </si>
  <si>
    <t>2012г</t>
  </si>
  <si>
    <t>2011г.</t>
  </si>
  <si>
    <t>31.12.2014г</t>
  </si>
  <si>
    <t xml:space="preserve"> 01.12.2014</t>
  </si>
  <si>
    <t>2012 г.</t>
  </si>
  <si>
    <t>2015 г.</t>
  </si>
  <si>
    <t>30.03.2017</t>
  </si>
  <si>
    <t>Муфта 15 Г8954-75</t>
  </si>
  <si>
    <t>Спираль ABB LUC 18 372 6х8 (25м)</t>
  </si>
  <si>
    <t>Отвод 90-45х2,5-20 Г17375 оцинк.</t>
  </si>
  <si>
    <t>Отвод крутоизогнутый 90 град Ду-15 оцинк</t>
  </si>
  <si>
    <t>Шайба С.4.02.Ст3кп Г11371-80 DIN125</t>
  </si>
  <si>
    <t>Термометр ТБ-1(-30+50)-1,5-100-М</t>
  </si>
  <si>
    <t>Трансформатор тока Т-0,66-М УЗ 150/5</t>
  </si>
  <si>
    <t>Дроссель М16хМ16 для РДУК,РДБК од. 1,5</t>
  </si>
  <si>
    <t>Контактор КМ-2-40 40А 2з EKF km-2-40-20</t>
  </si>
  <si>
    <t>Отвод 90-133х4-20 Г17375 оцинк</t>
  </si>
  <si>
    <t>Труба 76х6 В 20 Г8732-78 8731-74</t>
  </si>
  <si>
    <t>Задвижка 30ч39р Ду250 Ру10</t>
  </si>
  <si>
    <t>Клапан VYC 172-01-200 Ду200 Pу16</t>
  </si>
  <si>
    <t>Блок LUNA2 Siemens L30251-U600-A85</t>
  </si>
  <si>
    <t>Модуль DIUT2 Siemens L30220-Y600-A390</t>
  </si>
  <si>
    <t>Модуль SLMAE Siemens L30220-Y600-A382</t>
  </si>
  <si>
    <t>Модуль SLMO24 Siemens L30220-Y600-A252</t>
  </si>
  <si>
    <t>Модуль TMANI Siemens L30220-Y600-A245</t>
  </si>
  <si>
    <t>Шлюз HG 3575 V4 Siemens L30220-Y600-A417</t>
  </si>
  <si>
    <t>Устройство мониторинга</t>
  </si>
  <si>
    <t>R-3051-CD-1-M-2-2-A-1-A-B4-IM-C2-K05</t>
  </si>
  <si>
    <t>Автосинхронизатор АС-М3</t>
  </si>
  <si>
    <t>Агрегат АИК-25Р 27В 0,5А</t>
  </si>
  <si>
    <t>Агрегат зажигания СКНА-22-2А</t>
  </si>
  <si>
    <t>Агрегат командный КА-30ГР</t>
  </si>
  <si>
    <t>АКБ CSB HR1234W 12В 34Вт</t>
  </si>
  <si>
    <t>Блок Allen-Bradley 80026-172-23-R</t>
  </si>
  <si>
    <t>Блок PM3398B-6-1-3-E Pioneer Magnetics</t>
  </si>
  <si>
    <t>Блок питания БП-20</t>
  </si>
  <si>
    <t>Блок питания БП-24</t>
  </si>
  <si>
    <t>Блок питания Метран-602-Ехia-420-2-01К</t>
  </si>
  <si>
    <t>Блок резервного питания БИРП-12/1,6</t>
  </si>
  <si>
    <t>Блок терминальный ABB NTAI05</t>
  </si>
  <si>
    <t>Блок терминальный ABB NTAI06</t>
  </si>
  <si>
    <t>Блок терминальный ABB NTCL01</t>
  </si>
  <si>
    <t>Блок терминальный ABB NTDI01</t>
  </si>
  <si>
    <t>Блок терминальный ABB NTMP01</t>
  </si>
  <si>
    <t>Блок терминальный ABB NTUQ2E</t>
  </si>
  <si>
    <t>Блок упр. регулятора БУ-21</t>
  </si>
  <si>
    <t>Блок управления БУ ВНА</t>
  </si>
  <si>
    <t>Блок управления БУШ ДГ-03</t>
  </si>
  <si>
    <t>Ввод шины TB806 ABB 3BSE008536R1</t>
  </si>
  <si>
    <t>Видеодомофон Hyundai HA-201</t>
  </si>
  <si>
    <t>ВИС.Т ТС-100-0-2-2-1-КТ Ду200</t>
  </si>
  <si>
    <t>Выкл. авт. NB400N 3п 400А Merlin Gerin</t>
  </si>
  <si>
    <t>Выкл. авт. ВА55-43-33-52-50-20УХЛ3 1600А</t>
  </si>
  <si>
    <t>Выкл. ВА57-39-331110-20УХЛЗ 630А/1250А</t>
  </si>
  <si>
    <t>Газоанализатор СТМ-30-03</t>
  </si>
  <si>
    <t>Газоанализатор СТМ-30-52</t>
  </si>
  <si>
    <t>Головка переключателя M22-WLK3-W Moeller</t>
  </si>
  <si>
    <t>Датчик SW 25-2-0/23 IPM 627498002</t>
  </si>
  <si>
    <t>Датчик давл. ТЖИУ 406Д-1Ех-22-1-1-1-2</t>
  </si>
  <si>
    <t>Датчик давл.ТЖИУ-406.423.004.01 Садко107</t>
  </si>
  <si>
    <t>Датчик давления MIDAS SI тип401006/000-4</t>
  </si>
  <si>
    <t>Датчик давления Метран 100ДИ 1131-02-МП-</t>
  </si>
  <si>
    <t>Датчик давления ТЖИУ-406.422.008.01</t>
  </si>
  <si>
    <t>Датчик оборотов ДТА-10Е</t>
  </si>
  <si>
    <t>Датчик П-109</t>
  </si>
  <si>
    <t>Датчик температуры ТСП 9417</t>
  </si>
  <si>
    <t>Датчик ТЖИУ406-1Ех-03-5-3-5-2</t>
  </si>
  <si>
    <t>Датчик ТЖИУ406-1Ех-18-1-3-1-2</t>
  </si>
  <si>
    <t>Датчик ТЖИУ406-1Ех-19-1-3-1-2</t>
  </si>
  <si>
    <t>Датчик ТЖИУ406-1Ех-20-1-3-1-2</t>
  </si>
  <si>
    <t>Датчик ТЖИУ406А-1Ех-А-2-3-2-2</t>
  </si>
  <si>
    <t>Датчик ТЖИУ406Д-1Ех-03-1-3-1-2</t>
  </si>
  <si>
    <t>Датчик ТЖИУ406Д-1Ех-13-1-1-1-2</t>
  </si>
  <si>
    <t>Датчик ТЖИУ406Д-1Ех-16-1-1-1-2</t>
  </si>
  <si>
    <t>Датчик ТЖИУ406Д-1Ех-20-1-1-1-2</t>
  </si>
  <si>
    <t>Датчик т-ры Polar Bear DBTF-6P/PB</t>
  </si>
  <si>
    <t>Датчик т-ры ТК-31</t>
  </si>
  <si>
    <t>Датчик частоты вращения ДЧВ-7М2</t>
  </si>
  <si>
    <t>ЗИП д/уплотнения НМШ5-25-4/4Б</t>
  </si>
  <si>
    <t>Измеритель-регулятор ИРТ-5920 Элемер</t>
  </si>
  <si>
    <t>Источник питания S1006-R 24В</t>
  </si>
  <si>
    <t>Кабель TK811V015 ABB 3BSC950107R1</t>
  </si>
  <si>
    <t>Клапан DMV-D 5050/11 Dungs 224381</t>
  </si>
  <si>
    <t>Клапан LGV507/5 Dungs 119271</t>
  </si>
  <si>
    <t>Клапан MVD 507/5 R3/4 Рувх0,5 Kv30</t>
  </si>
  <si>
    <t>Клапан АТЭК-200-РП-С-40-ЭО Ду200, ПБР-3А</t>
  </si>
  <si>
    <t>Клапан для РДУК-200/105 в сборе с седлом</t>
  </si>
  <si>
    <t>Клапан КЗ-25-2,5-У-Ех-НО-ЭМ-Ф32/Нж-1-24</t>
  </si>
  <si>
    <t>Клапан ОГК Ду50 Ру25 для ГТУ-6РМ</t>
  </si>
  <si>
    <t>Клапан ПСК-50Н/20</t>
  </si>
  <si>
    <t>Компенсатор КСО-25-900-210</t>
  </si>
  <si>
    <t>Компенсатор сильфонный 1КСО-25-500</t>
  </si>
  <si>
    <t>Компенсатор сильфонный СКФ2-2ИК-15</t>
  </si>
  <si>
    <t>Комплект упл. Графлекс КТ 033.01.017</t>
  </si>
  <si>
    <t>Конвертор RS232-RS 485 ТС</t>
  </si>
  <si>
    <t>Контроллер доступа Орион С2000-2</t>
  </si>
  <si>
    <t>Контроллер шлюзовой ABB BRC 300</t>
  </si>
  <si>
    <t>К-т ЗИП насоса НМШФ2-40-1,6/4Б-30М5</t>
  </si>
  <si>
    <t>М-100-ДВ-1211-02-МП1-t1-015-1,6кПа-42-C</t>
  </si>
  <si>
    <t>М-100-ДИВ-1310-02 МП1-t1-025-0,2кПа-0,5</t>
  </si>
  <si>
    <t>М-100-ДИВ-1311-02-МП1-t1-015-1,25кПа-42</t>
  </si>
  <si>
    <t>М-150CD1(0-1кПа)2211L3AM5IMS5K04 с к/б</t>
  </si>
  <si>
    <t>М-150CD2(0-16кПа)2211L3AM5IMK04</t>
  </si>
  <si>
    <t>М-55-Вн-Ди-515-t5-050-1МПа-4-20мА</t>
  </si>
  <si>
    <t>М-55-ДИ-515-t1-050-2,5МПа-42-М20-С</t>
  </si>
  <si>
    <t>Маслопровод ВД В 60860140-01 для ГТД-6РМ</t>
  </si>
  <si>
    <t>Механизм исп. МЭО-250/25-0,25</t>
  </si>
  <si>
    <t>Механизм исп. МЭО-40/63-0,25У-01-У2</t>
  </si>
  <si>
    <t>Механизм МЭОФ-2500/160-0,63-96К</t>
  </si>
  <si>
    <t>Мод.ввод дискр.сигн.D48/24 220В ТСС9-220</t>
  </si>
  <si>
    <t>Модули дискретных входов ABB IMDSI13</t>
  </si>
  <si>
    <t>Модуль AO810V2 4-20мА ABB 3BSE038415R1</t>
  </si>
  <si>
    <t>Модуль DI810 ABB 3BSE008508R1</t>
  </si>
  <si>
    <t>Модуль MCR-C-I-I-00-DC Phoenix</t>
  </si>
  <si>
    <t>Модуль PSM-ME-RS232/RS485-P Phoenix</t>
  </si>
  <si>
    <t>Модуль аналогового ввода Текон AI16</t>
  </si>
  <si>
    <t>Модуль аналогового входа ABB IMASI23</t>
  </si>
  <si>
    <t>Модуль аналогового входа ABB IMFEC12</t>
  </si>
  <si>
    <t>Модуль аналогового входа А8У</t>
  </si>
  <si>
    <t>Модуль аналоговых выходов ABB IMASO11</t>
  </si>
  <si>
    <t>Модуль ввода DI16-220</t>
  </si>
  <si>
    <t>Модуль ввода DI801</t>
  </si>
  <si>
    <t>Модуль ввода DI803</t>
  </si>
  <si>
    <t>Модуль ввода АI801</t>
  </si>
  <si>
    <t>Модуль ввода Текон D48/24</t>
  </si>
  <si>
    <t>Модуль ввода/вывода Текон А16/2</t>
  </si>
  <si>
    <t>Модуль вывода ABB DO802</t>
  </si>
  <si>
    <t>Модуль вывода Текон ТКМ.D40S</t>
  </si>
  <si>
    <t>Модуль дискретный входов Д8У</t>
  </si>
  <si>
    <t>Модуль измерения частоты ABB IMTSA01</t>
  </si>
  <si>
    <t>Модуль клеммных соединений ТСС-220АС</t>
  </si>
  <si>
    <t>Модуль коммуникац. порта ABB IMCPM02</t>
  </si>
  <si>
    <t>Модуль передачи данных ABB INICT13A</t>
  </si>
  <si>
    <t>Модуль сетевой процессорный ABB INNPM22</t>
  </si>
  <si>
    <t>Модуль центр. процессора Текон Р05-02</t>
  </si>
  <si>
    <t>Насос АНС-130 с эл дв 7,5 кВт на раме</t>
  </si>
  <si>
    <t>Насос МНО-30К</t>
  </si>
  <si>
    <t>Насос НМШ5-25-4/25Б-1У3 5,5/1450</t>
  </si>
  <si>
    <t>Насос НМШФ2-40-1,6/4Б-13 1,1/1450</t>
  </si>
  <si>
    <t>Насос ОМН-30</t>
  </si>
  <si>
    <t>Опора скользящая Ду200 эск.</t>
  </si>
  <si>
    <t>Панель видеодомофона DVC-201 Эликс</t>
  </si>
  <si>
    <t>Переносное устройство EVER GUM</t>
  </si>
  <si>
    <t>Подшипник NU317 ECJ/C3 SKF</t>
  </si>
  <si>
    <t>Предохранитель В 61100031 для ГТД-6РМ</t>
  </si>
  <si>
    <t>Преобр. Е854В 0-5А 4-20мА</t>
  </si>
  <si>
    <t>Преобр. ПТПЗ</t>
  </si>
  <si>
    <t>Преобразователь CUE Grundfos 96754705</t>
  </si>
  <si>
    <t>Преобразователь ИПТВ-206/М3-03</t>
  </si>
  <si>
    <t>Преобразователь реактив.мощности Е860ВР2</t>
  </si>
  <si>
    <t>Регулятор REGAL-3 FSREG3-50 Ду50 Ру16</t>
  </si>
  <si>
    <t>Регулятор АРТ-85-125/16 п/себя</t>
  </si>
  <si>
    <t>Регулятор РДБК-1Н-200/140 Ду200 Pу12</t>
  </si>
  <si>
    <t>Регулятор РДУК-2Н-100/70 Ду100 Ру12</t>
  </si>
  <si>
    <t>Реле ПЭ 37-44 220В</t>
  </si>
  <si>
    <t>Реле ПЭ 37-62 220В</t>
  </si>
  <si>
    <t>Реле РП-21-004 24В</t>
  </si>
  <si>
    <t>Реле тепловое РТТ-310 63А 53,5-72,3А</t>
  </si>
  <si>
    <t>Садко 107 ТЖИУ.406423.005 0,4-1,6МПа</t>
  </si>
  <si>
    <t>Сепаратор Atlas Copco сер № AII289074</t>
  </si>
  <si>
    <t>Сигнализатор магнитный МСС 40-07-5021</t>
  </si>
  <si>
    <t>Система питания Advel Adlim SPS-RK8p2</t>
  </si>
  <si>
    <t>Система питания Advel Adlim SPS-RQ8p2</t>
  </si>
  <si>
    <t>Соединитель клеммный ТСС 9М</t>
  </si>
  <si>
    <t>Считыватель Parsec PR-EH05</t>
  </si>
  <si>
    <t>Трансформатор ДБСКТ-650-1Ш</t>
  </si>
  <si>
    <t>ТСМУ-205-3/320-(-50+ 50)С L=300мм</t>
  </si>
  <si>
    <t>ТСП-9506.158-01</t>
  </si>
  <si>
    <t>ТСП-9506.158-46</t>
  </si>
  <si>
    <t>ТСПУ-205-100П-3-(0+200)С-320-0,25</t>
  </si>
  <si>
    <t>ТХАУ Метран-271-(0+600)С-4-20мА</t>
  </si>
  <si>
    <t>Тягомер мембр. показывающий ТмМП-52-М2</t>
  </si>
  <si>
    <t>Уплотнение MT-26 Grasso 363098200 NB</t>
  </si>
  <si>
    <t>Уплотнение торц. /КГВ-250/75</t>
  </si>
  <si>
    <t>Уплотнение торц. 153/Д71.033.821КК</t>
  </si>
  <si>
    <t>Усилитель трехпозиционный У-300</t>
  </si>
  <si>
    <t>Фильтр Viledon Compact Т90</t>
  </si>
  <si>
    <t>Фильтр возд. компрес.Atlas Copco GA-15</t>
  </si>
  <si>
    <t>Фильтр сигнализатор к ЦВС-30</t>
  </si>
  <si>
    <t>Фотодатчик ФД4</t>
  </si>
  <si>
    <t>Цилиндр направляющего аппарата ЦНА-30К</t>
  </si>
  <si>
    <t>Электродвигатель АЧБКр225М4БУЗ</t>
  </si>
  <si>
    <t>Элемент контактный М22-СК01 Moeller</t>
  </si>
  <si>
    <t>Элемент контактный М22-СК10 Moeller</t>
  </si>
  <si>
    <t>Элемент ОС 16.03.300 для ДККС-16-3</t>
  </si>
  <si>
    <t>Элемент фильтр. Ф23.6.02.000</t>
  </si>
  <si>
    <t>Горелка ЭИВ-01-И L1000</t>
  </si>
  <si>
    <t>(0801) Очаковское шоссе, д.22</t>
  </si>
  <si>
    <t>(0804) ул. Бобруйская, д.19</t>
  </si>
  <si>
    <t>(0808) ул. Верейская, д.35</t>
  </si>
  <si>
    <t>Комплекс СГ-ЭК-Вз-Р-0,5-65/1,</t>
  </si>
  <si>
    <t>Затвор поворотный ADAMS ф.400 мм с ре</t>
  </si>
  <si>
    <t xml:space="preserve">(2001) Б.Каменщики ул., д. 4 </t>
  </si>
  <si>
    <t>Характеристики</t>
  </si>
  <si>
    <t>Техническое состояние</t>
  </si>
  <si>
    <t>КА-30ГР</t>
  </si>
  <si>
    <t>002 SA-94 Aswega</t>
  </si>
  <si>
    <t>БП-24</t>
  </si>
  <si>
    <t>БИРП-12/1,6</t>
  </si>
  <si>
    <t>ABB NTAI05</t>
  </si>
  <si>
    <t>ABB NTAI06</t>
  </si>
  <si>
    <t>ABB NTCL01</t>
  </si>
  <si>
    <t>ABB NTDI01</t>
  </si>
  <si>
    <t>ABB NTMP01</t>
  </si>
  <si>
    <t>ABB NTUQ2E</t>
  </si>
  <si>
    <t>Landis LFL1.322</t>
  </si>
  <si>
    <t>БУ-21</t>
  </si>
  <si>
    <t>БУ ВНА</t>
  </si>
  <si>
    <t>БУШ ДГ-03</t>
  </si>
  <si>
    <t>TB806 ABB 3BSE008536R1</t>
  </si>
  <si>
    <t>Hyundai HA-201</t>
  </si>
  <si>
    <t>ПН2-100/63А</t>
  </si>
  <si>
    <t>NB400N 3п 400А Merlin Gerin</t>
  </si>
  <si>
    <t>АЕ2046М-100У3 3п 31,5А</t>
  </si>
  <si>
    <t>АП50Б-3МТ-3,5Iu 3п 25А У3</t>
  </si>
  <si>
    <t>АП50Б-3МТ-3,5Iu 3п 40А У3</t>
  </si>
  <si>
    <t>ВА53-41-135250-20УХЛ3 250А</t>
  </si>
  <si>
    <t>ВА55-41-335250-00УХЛЗ 630А</t>
  </si>
  <si>
    <t>ВА21-29-341110-12In-380 25,00А</t>
  </si>
  <si>
    <t>СТМ-30-03</t>
  </si>
  <si>
    <t>M22-WLK3-W Moeller</t>
  </si>
  <si>
    <t>SW 25-2-0/23 IPM 627498002</t>
  </si>
  <si>
    <t>ТЖИУ 406Д-1Ех-22-1-1-1-2</t>
  </si>
  <si>
    <t>ТЖИУ-406.423.004.01 Садко107</t>
  </si>
  <si>
    <t>MIDAS SI тип401006/000-4</t>
  </si>
  <si>
    <t>Метран 100ДИ 1131-02-МП-</t>
  </si>
  <si>
    <t>ТЖИУ-406.422.008.01</t>
  </si>
  <si>
    <t>ДТА-10Е</t>
  </si>
  <si>
    <t>П-109</t>
  </si>
  <si>
    <t>ТСП 9417</t>
  </si>
  <si>
    <t>ТЖИУ406-1Ех-03-5-3-5-2</t>
  </si>
  <si>
    <t>ТЖИУ406-1Ех-18-1-3-1-2</t>
  </si>
  <si>
    <t>ТЖИУ406-1Ех-19-1-3-1-2</t>
  </si>
  <si>
    <t>ТЖИУ406-1Ех-20-1-3-1-2</t>
  </si>
  <si>
    <t>ТЖИУ406А-1Ех-А-2-3-2-2</t>
  </si>
  <si>
    <t>ТЖИУ406Д-1Ех-03-1-3-1-2</t>
  </si>
  <si>
    <t>ТЖИУ406Д-1Ех-13-1-1-1-2</t>
  </si>
  <si>
    <t>ТЖИУ406Д-1Ех-16-1-1-1-2</t>
  </si>
  <si>
    <t>ТЖИУ406Д-1Ех-20-1-1-1-2</t>
  </si>
  <si>
    <t>Polar Bear DBTF-6P/PB</t>
  </si>
  <si>
    <t>ТК-31</t>
  </si>
  <si>
    <t>СО-1 15В</t>
  </si>
  <si>
    <t>НМШ5-25-4/4Б</t>
  </si>
  <si>
    <t>ИРТ-5920 Элемер</t>
  </si>
  <si>
    <t>S1006-R 24В</t>
  </si>
  <si>
    <t>TK811V015 ABB 3BSC950107R1</t>
  </si>
  <si>
    <t>1256.20.00 Ду20 Ру16</t>
  </si>
  <si>
    <t>DMV-D 5050/11 Dungs 224381</t>
  </si>
  <si>
    <t>LGV507/5 Dungs 119271</t>
  </si>
  <si>
    <t>MVD 507/5 R3/4 Рувх0,5 Kv30</t>
  </si>
  <si>
    <t>АТЭК-200-РП-С-40-ЭО Ду200, ПБР-3А</t>
  </si>
  <si>
    <t>РДУК-200/105</t>
  </si>
  <si>
    <t>КЗ-25-2,5-У-Ех-НО-ЭМ-Ф32/Нж-1-24</t>
  </si>
  <si>
    <t>Ду50 Ру25 для ГТУ-6РМ</t>
  </si>
  <si>
    <t>Tantos HO-02 пластик</t>
  </si>
  <si>
    <t>КСО-25-900-210</t>
  </si>
  <si>
    <t>ПППН-Т7-25-600-2.2</t>
  </si>
  <si>
    <t>КСО-25-250</t>
  </si>
  <si>
    <t>КСО-25-500</t>
  </si>
  <si>
    <t>СКФ2-2ИК-15</t>
  </si>
  <si>
    <t>СГ-ЭКВз-Т-0,75-1600/1,6</t>
  </si>
  <si>
    <t>Графлекс КТ 033.01.017</t>
  </si>
  <si>
    <t>RS232-RS 485 ТС</t>
  </si>
  <si>
    <t>МК6-30ТУХЛ3 250-400А 220В 50Гц</t>
  </si>
  <si>
    <t>Орион С2000-2</t>
  </si>
  <si>
    <t>ABB BRC 300</t>
  </si>
  <si>
    <t>НМШФ2-40-1,6/4Б-30М5</t>
  </si>
  <si>
    <t>Roto-Inject Fluid</t>
  </si>
  <si>
    <t>ВД В 60860140 для ГТД-6РМ</t>
  </si>
  <si>
    <t>ВД В 60860140-01 для ГТД-6РМ</t>
  </si>
  <si>
    <t>ВД В 60860150 для ГТД-6РМ</t>
  </si>
  <si>
    <t>ВД В 60860150-01 для ГТД-6РМ</t>
  </si>
  <si>
    <t>МЭО-250/25-0,25</t>
  </si>
  <si>
    <t>МЭО-40/63-0,25У-01-У2</t>
  </si>
  <si>
    <t>МЭОФ-2500/160-0,63-96К</t>
  </si>
  <si>
    <t>D48/24 220В ТСС9-220</t>
  </si>
  <si>
    <t>ABB IMDSI13</t>
  </si>
  <si>
    <t>Allen-Bradley 1747-SCNR</t>
  </si>
  <si>
    <t>Allen-Bradley 3150-MCM</t>
  </si>
  <si>
    <t>MCR-C-I-I-00-DC Phoenix</t>
  </si>
  <si>
    <t>PSM-ME-RS232/RS485-P Phoenix</t>
  </si>
  <si>
    <t>Allen-Bradley 1747-ASB</t>
  </si>
  <si>
    <t>Текон AI16</t>
  </si>
  <si>
    <t>ABB IMASI23</t>
  </si>
  <si>
    <t>ABB IMFEC12</t>
  </si>
  <si>
    <t>А8У</t>
  </si>
  <si>
    <t>ABB IMASO11</t>
  </si>
  <si>
    <t xml:space="preserve"> Allen-Bradley 1746-IM16</t>
  </si>
  <si>
    <t>Allen-Bradley 1746-NI4</t>
  </si>
  <si>
    <t>DI801</t>
  </si>
  <si>
    <t>DI803</t>
  </si>
  <si>
    <t>АI801</t>
  </si>
  <si>
    <t>Текон D48/24</t>
  </si>
  <si>
    <t>Текон А16/2</t>
  </si>
  <si>
    <t>ABB DO802</t>
  </si>
  <si>
    <t>Allen-Bradley 1746-OB32</t>
  </si>
  <si>
    <t>DO16r-220FC</t>
  </si>
  <si>
    <t>Д8У</t>
  </si>
  <si>
    <t>ABB IMDSO14</t>
  </si>
  <si>
    <t>ABB IMTSA01</t>
  </si>
  <si>
    <t>ТСС-220АС</t>
  </si>
  <si>
    <t>ABB IMCPM02</t>
  </si>
  <si>
    <t>Allen-Bradley 1747-SN</t>
  </si>
  <si>
    <t>Текон Р05-02</t>
  </si>
  <si>
    <t>АНС-130 с эл дв 7,5 кВт на раме</t>
  </si>
  <si>
    <t>МНО-30К</t>
  </si>
  <si>
    <t>НМШ5-25-4/25Б-1У3 5,5/1450</t>
  </si>
  <si>
    <t>НМШФ2-40-1,6/4Б-13 1,1/1450</t>
  </si>
  <si>
    <t>ОМН-30</t>
  </si>
  <si>
    <t>DVC-201 Эликс</t>
  </si>
  <si>
    <t>NU317 ECJ/C3 SKF</t>
  </si>
  <si>
    <t>В 61100031 для ГТД-6РМ</t>
  </si>
  <si>
    <t>Е854В 0-5А 4-20мА</t>
  </si>
  <si>
    <t>Е855/3-М1 0-500В 4-20мА</t>
  </si>
  <si>
    <t>CUE Grundfos 96754705</t>
  </si>
  <si>
    <t>ИПТВ-206/М3-03</t>
  </si>
  <si>
    <t>Е860ВР2</t>
  </si>
  <si>
    <t>ПМ12-100150 220В 100А</t>
  </si>
  <si>
    <t>ПМЛ-1110 220В 10А 1з</t>
  </si>
  <si>
    <t>АРТ-85-125/16 п/себя</t>
  </si>
  <si>
    <t>РДБК-1Н-200/140 Ду200 Pу12</t>
  </si>
  <si>
    <t>РДУК-2Н-100/70 Ду100 Ру12</t>
  </si>
  <si>
    <t>РП-21-004 220В</t>
  </si>
  <si>
    <t>РТТ-310 63А 53,5-72,3А</t>
  </si>
  <si>
    <t>ТЖИУ.406423.009.01 10-40кПа</t>
  </si>
  <si>
    <t>СП-06ВП-3</t>
  </si>
  <si>
    <t>Atlas Copco сер № AII289074</t>
  </si>
  <si>
    <t>МСС 40-07-5021</t>
  </si>
  <si>
    <t>Wika A52.100-1-(0+100)С-200</t>
  </si>
  <si>
    <t>ДБСКТ-650-1Ш</t>
  </si>
  <si>
    <t>Метран-274-05-Ех-160-0,5-Н10(-50+50</t>
  </si>
  <si>
    <t>Метран-276-02-200-0,5-Н10-(0+200)С</t>
  </si>
  <si>
    <t>ТмМП-52-М2</t>
  </si>
  <si>
    <t>КСО-25-1000</t>
  </si>
  <si>
    <t>КГВ-250/75</t>
  </si>
  <si>
    <t>СЭ-1250-140</t>
  </si>
  <si>
    <t>153/Д71.033.821КК</t>
  </si>
  <si>
    <t>У-300</t>
  </si>
  <si>
    <t>ДМС-250Н 185кВт 380В 50Гц</t>
  </si>
  <si>
    <t>Viledon Compact Т60</t>
  </si>
  <si>
    <t>Viledon Compact Т90</t>
  </si>
  <si>
    <t>Atlas Copco GA-15</t>
  </si>
  <si>
    <t>ЦНА-30К</t>
  </si>
  <si>
    <t>АИР-4,5 кв 3000 об/мин</t>
  </si>
  <si>
    <t>АЧБКр225М4БУЗ</t>
  </si>
  <si>
    <t>М22-СК01 Moeller</t>
  </si>
  <si>
    <t>М22-СК10 Moeller</t>
  </si>
  <si>
    <t>16.03.300 для ДККС-16-3</t>
  </si>
  <si>
    <t>Ф23.6.02.000</t>
  </si>
  <si>
    <t>Удовлетворительное</t>
  </si>
  <si>
    <t>Масло Roto-Inject Fluid 2901 0522 00</t>
  </si>
  <si>
    <t>Масло Shell Tellus Oils S46 20л</t>
  </si>
  <si>
    <t>Манжета М 12х24-2 Г22704-77</t>
  </si>
  <si>
    <t>Терминал КТ-12/Ш</t>
  </si>
  <si>
    <t>Детектор LDS стационарный 220В</t>
  </si>
  <si>
    <t>Ковер настенный</t>
  </si>
  <si>
    <t>Кабель GE Energy 106765-04</t>
  </si>
  <si>
    <t>Кабель GE Energy 129525-0010-02</t>
  </si>
  <si>
    <t>Кабель GE Energy 129529-0010-02</t>
  </si>
  <si>
    <t xml:space="preserve">Предохранитель концевой DHEC 2400            </t>
  </si>
  <si>
    <t xml:space="preserve">Предохранитель концевой DHEC 2600            </t>
  </si>
  <si>
    <t xml:space="preserve">Предохранитель концевой DHEC 2700            </t>
  </si>
  <si>
    <t xml:space="preserve">Фильтр сигнализатор к ЦВС-30                 </t>
  </si>
  <si>
    <t>Датчик Fuji FCX-AII FKCX22V5-AKAYY-AU</t>
  </si>
  <si>
    <t>Датчик Fuji FCX-AII FKCX33V5-AXAYY-AU</t>
  </si>
  <si>
    <t>Датчик Fuji FCX-AII FKCX36V5-AXAYY-AU</t>
  </si>
  <si>
    <t>Датчик Fuji FCX-AII FKPV02V5-AKAYY-0Y</t>
  </si>
  <si>
    <t>Датчик Fuji FCX-AII FKPV03V5-AKAYY-0Y</t>
  </si>
  <si>
    <t>Датчик Fuji FCX-AII FKPV04V5-AKAYY-0Y</t>
  </si>
  <si>
    <t>Датчик Fuji FCX-AII FKPV04V5-AXAYY-0Y</t>
  </si>
  <si>
    <t>Датчик GE 330103-00-03-50-02-RU</t>
  </si>
  <si>
    <t>Датчик GE Energy 330101-00-27-50-02-RU</t>
  </si>
  <si>
    <t>Датчик GE Energy 330525-00</t>
  </si>
  <si>
    <t>Датчик вибрации 2408714-1</t>
  </si>
  <si>
    <t>Датчик вибрации 2408715-1</t>
  </si>
  <si>
    <t>Датчик вибрации 315475-19</t>
  </si>
  <si>
    <t>Датчик вибрации 315475-20</t>
  </si>
  <si>
    <t>Датчик температуры 2420906-1</t>
  </si>
  <si>
    <t>Датчик температуры 2420906-2</t>
  </si>
  <si>
    <t>Датчик температуры 2420906-3</t>
  </si>
  <si>
    <t>Датчик температуры 2420906-4</t>
  </si>
  <si>
    <t>Датчик температуры 2420906-5</t>
  </si>
  <si>
    <t>Датчик температуры 51082859-1</t>
  </si>
  <si>
    <t xml:space="preserve">Вибропреобразов. АНС 066-02Н 7-2000м/с2      </t>
  </si>
  <si>
    <t xml:space="preserve">Датчик SW 25-2-0/23 IPM 627498002            </t>
  </si>
  <si>
    <t xml:space="preserve">Датчик давл. ТЖИУ-406.423.005 0,4-1,6МПа     </t>
  </si>
  <si>
    <t xml:space="preserve">Датчик давл.ТЖИУ-406.423.004.01 Садко107     </t>
  </si>
  <si>
    <t xml:space="preserve">Датчик ТЖИУ406-1Ех-03-5-3-5-2                </t>
  </si>
  <si>
    <t xml:space="preserve">Датчик ТЖИУ406-1Ех-19-1-3-1-2                </t>
  </si>
  <si>
    <t xml:space="preserve">Датчик ТЖИУ406А-1Ех-А-2-3-2-2                </t>
  </si>
  <si>
    <t xml:space="preserve">Датчик ТЖИУ406Д-1Ех-16-1-1-1-2               </t>
  </si>
  <si>
    <t xml:space="preserve">Датчик ТЖИУ406Д-1Ех-20-1-1-1-2               </t>
  </si>
  <si>
    <t xml:space="preserve">Датчик частоты вращения ДЧВ-7М2              </t>
  </si>
  <si>
    <t xml:space="preserve">Датчик-сигнализатор обледенения СО-1 15В     </t>
  </si>
  <si>
    <t>Ремкомплект АТЭК.491284.002-03 п/к</t>
  </si>
  <si>
    <t>Ремкомплект АТЭК.491284.012-01 п/к</t>
  </si>
  <si>
    <t>Ремкомплект АТЭК.491284.022-02</t>
  </si>
  <si>
    <t>Ремкомплект АТЭК.493924.017-07 п/к</t>
  </si>
  <si>
    <t xml:space="preserve">Седло D105 регулятора давления типа РДУК     </t>
  </si>
  <si>
    <t>Сенсор Oxytrace SC Swan A87.212.052</t>
  </si>
  <si>
    <t xml:space="preserve">Терминал системы ОДК, концевой               </t>
  </si>
  <si>
    <t>Клапан 1015-150-ЭМ Ду150 Ру100 ЧЗЭМ</t>
  </si>
  <si>
    <t>Клапан 1057-65-ЭМ Ду65 Ру100 ЧЗЭМ</t>
  </si>
  <si>
    <t>Клапан 586-20-ЭМ-03 Ду20 Ру250 ЧЗЭМ</t>
  </si>
  <si>
    <t>Клапан 998-20-ЭК Ду20 Ру373 ЧЗЭМ</t>
  </si>
  <si>
    <t>Клапан 999-20-ЭМ Ду20 Ру250 ЧЗЭМ</t>
  </si>
  <si>
    <t xml:space="preserve">Клапан ОГК Ду50 Ру25 для ГТУ-6РМ             </t>
  </si>
  <si>
    <t>Клапан электромагнитный 2037046-2</t>
  </si>
  <si>
    <t>Э/п Auma SAR 07.1/AM01/1/LE12.1-F10</t>
  </si>
  <si>
    <t>Блок 61433503 NBPU-42C PPCS Branching</t>
  </si>
  <si>
    <t>Проксиметр 3300 XL GE 330180-51-RU</t>
  </si>
  <si>
    <t>Проксиметр 3300 XL NSV GE 330980-51-RU</t>
  </si>
  <si>
    <t>ВИС.Т ТС-201-2-2-1 Ду100/100</t>
  </si>
  <si>
    <t>Манометр МТ-3И 0-2,5кгс/см2</t>
  </si>
  <si>
    <t>Механизм исп. МЭО-40/63-0,25М</t>
  </si>
  <si>
    <t>Преобразователь ИПМ-0399/М3-Ех</t>
  </si>
  <si>
    <t xml:space="preserve">Счётчик СГ-75МТ-250-40-С Ду80                </t>
  </si>
  <si>
    <t>Модуль GE Energy 3500/20-01-02-00</t>
  </si>
  <si>
    <t>Модуль GE Energy 3500/25-01-01-00</t>
  </si>
  <si>
    <t>Модуль GE Energy 3500/33-01-00</t>
  </si>
  <si>
    <t>Модуль GE Energy 3500/42-02-00</t>
  </si>
  <si>
    <t>Модуль GE Energy 3500/42-09-00</t>
  </si>
  <si>
    <t>Модуль GE Energy 3500/50-01-00-01</t>
  </si>
  <si>
    <t>Модуль GE Energy 3500/53-02-00</t>
  </si>
  <si>
    <t>Модуль GE Energy 3500/64-01-00</t>
  </si>
  <si>
    <t>Модуль GE Energy 3500/92-04-01-00</t>
  </si>
  <si>
    <t>Модуль ввода\вывода AI835 ABB</t>
  </si>
  <si>
    <t>Модуль д/линии TC 625 AF100 3BSE00222R1</t>
  </si>
  <si>
    <t>Модуль процессора PM510V08 3BSE008373R1</t>
  </si>
  <si>
    <t>Модуль цифр. вх. 3BHT300002R1</t>
  </si>
  <si>
    <t>Насос 125-CJAV-265-15/8-LU-00-FE 75/1485</t>
  </si>
  <si>
    <t>Насос Allweiler NSSV 65-250 45/2965</t>
  </si>
  <si>
    <t>Насос HPH-100-200 без э/д</t>
  </si>
  <si>
    <t>Насос HPK-LE-50-200 без э/д</t>
  </si>
  <si>
    <t>Насос HPK-LE-80-200 без э/д</t>
  </si>
  <si>
    <t>Насос KSB KRTK 40-250/122UG-S 12/2930</t>
  </si>
  <si>
    <t>Насос RDLO-600-600B без э/д</t>
  </si>
  <si>
    <t>Блок процессора ABB 3BSE008062R1</t>
  </si>
  <si>
    <t>Блок разветвителя NPBU-42C ABB 64011821</t>
  </si>
  <si>
    <t>Интерфейс AF100 CI520V1 3BSE012869R1</t>
  </si>
  <si>
    <t>Интерфейс Masterbus 300 3BSE000435R1</t>
  </si>
  <si>
    <t>Интерфейс связи 3BSE011000R1</t>
  </si>
  <si>
    <t>Комплект NINT-73C ABB 64513605</t>
  </si>
  <si>
    <t xml:space="preserve">Трансформатор ДБСКТ-650-1Ш                   </t>
  </si>
  <si>
    <t>Прибор микропр. Трансформер-ML МП2Р</t>
  </si>
  <si>
    <t>Прибор Трансформер-ML Д8У</t>
  </si>
  <si>
    <t>Прибор Трансформер-ML МП4</t>
  </si>
  <si>
    <t>Трансформер ML(БП24-5)</t>
  </si>
  <si>
    <t>Трансформер-ML (ББП-24)</t>
  </si>
  <si>
    <t>Шкаф автоматики ШАТ-66 600х600х210</t>
  </si>
  <si>
    <t>Шкаф ШАТ-106 №7-2-ПП/13-АТС</t>
  </si>
  <si>
    <t xml:space="preserve">Прибор микропроцессорный Трансформер-ML MB БП24-5 </t>
  </si>
  <si>
    <t>Фильтр тонкой очис. CAM GT-F9-242412-01</t>
  </si>
  <si>
    <t>Фильтр тонкой очис. МРК 49-31 GT GTU F9</t>
  </si>
  <si>
    <t>Фильтр тонкой очис. МРК 49-31 GT HV F9</t>
  </si>
  <si>
    <t>Новое</t>
  </si>
  <si>
    <t>СПП-элемент</t>
  </si>
  <si>
    <t>Документы</t>
  </si>
  <si>
    <t>паспорт</t>
  </si>
  <si>
    <t>Сер.кач-ва №1300183221/т-2  от 23.11.2015</t>
  </si>
  <si>
    <t>Отсутствуют</t>
  </si>
  <si>
    <t>Сер.кач-ва № РОСС RU.АГ66.Н04191  от 12.04.2016</t>
  </si>
  <si>
    <t>3.NV.1100-2002</t>
  </si>
  <si>
    <t>3.NV.1203-2002</t>
  </si>
  <si>
    <t>Паспорт</t>
  </si>
  <si>
    <t>Инструкция</t>
  </si>
  <si>
    <t>Нет данных</t>
  </si>
  <si>
    <t>3.NV.1216-2002</t>
  </si>
  <si>
    <t>Siemens L30220-Y600-A390</t>
  </si>
  <si>
    <t>Siemens L30220-Y600-A382</t>
  </si>
  <si>
    <t>Siemens L30220-Y600-A252</t>
  </si>
  <si>
    <t>Siemens L30220-Y600-A245</t>
  </si>
  <si>
    <t>Siemens L30220-Y600-A417</t>
  </si>
  <si>
    <t>Устройство ГЛОНАСС</t>
  </si>
  <si>
    <t>MАGNETEK 3D53-18-1</t>
  </si>
  <si>
    <t>Условно пригодное</t>
  </si>
  <si>
    <t>3.NV.1207-2002</t>
  </si>
  <si>
    <t>3.NV.1209-2002</t>
  </si>
  <si>
    <t>Затвор поворотный ADAMS ф.200 мм с редуктором</t>
  </si>
  <si>
    <t>Паспорт ЛГТИ.407321.001.ПС от 08.08.2012</t>
  </si>
  <si>
    <t>3.NV.1220-2002</t>
  </si>
  <si>
    <t>3.NV.1208-2002</t>
  </si>
  <si>
    <t>Паспорт № 025834; Компенсатор сильфонный КСО-25-500-200-1,2 по ИЯНШ.300260.029ТУ; заводской №45; дата изготовления: март 2013г.; ОАО НПП Компенсатор</t>
  </si>
  <si>
    <t>SA-94/3-C-3-ЕК-015/015-Ф/Ф-Т-2-1-1/н-1-2</t>
  </si>
  <si>
    <t>SA-94/3-C-3-ЕК-025/025-Ф/Ф-Т-2-1-1/н-1-5</t>
  </si>
  <si>
    <t>SA-94/3-C-3-ЕК-040/н-Ф/Ф-Т-2-1-2/н-1-5</t>
  </si>
  <si>
    <t>Блок 001 SA-94 Aswega</t>
  </si>
  <si>
    <t>Блок 004 SA-94 Aswega</t>
  </si>
  <si>
    <t>Блок БП/ВКТ7</t>
  </si>
  <si>
    <t>Блок ИВБ-106</t>
  </si>
  <si>
    <t>Блок ИСТВ.466344.001</t>
  </si>
  <si>
    <t>ВИС.Т ТС-200-2-2-1-1-РТ Ду100/100</t>
  </si>
  <si>
    <t>ВИС.Т ТС-200-3-3-2-1 Ду80/80</t>
  </si>
  <si>
    <t>ВИС.Т ТС-201-3-3-2-1 Ду100/80</t>
  </si>
  <si>
    <t>ВИС.Т ТС-201-3-3-2-1 Ду50/40</t>
  </si>
  <si>
    <t>ВИС.Т ТС-201-3-3-2-1 Ду80/40</t>
  </si>
  <si>
    <t>ВИС.Т ТС-201-3-3-2-1 Ду80/50</t>
  </si>
  <si>
    <t>ВИС.Т ТС-401-5-5-3-0-Е Ду40/40+40/25</t>
  </si>
  <si>
    <t>ВИС.Т ТС-401-5-5-3-0-Е Ду50/50+40/40</t>
  </si>
  <si>
    <t>ВИС.Т ТС-401-5-5-3-0-Е Ду50/50+50/50</t>
  </si>
  <si>
    <t>ВИС.Т ТС-401-5-5-3-1-Е Ду100/100+100/100</t>
  </si>
  <si>
    <t>ВИС.Т ТС-401-5-5-3-1-Е Ду100/100+100/80</t>
  </si>
  <si>
    <t>ВИС.Т ТС-401-5-5-3-1-Е Ду100/100+80/50</t>
  </si>
  <si>
    <t>ВИС.Т ТС-401-5-5-3-1-Е Ду100/100+80/80</t>
  </si>
  <si>
    <t>ВИС.Т ТС-401-5-5-3-1-Е Ду40/40+25/25</t>
  </si>
  <si>
    <t>ВИС.Т ТС-401-5-5-3-1-Е Ду40/40+40/25</t>
  </si>
  <si>
    <t>ВИС.Т ТС-401-5-5-3-1-Е Ду40/40+40/40</t>
  </si>
  <si>
    <t>ВИС.Т ТС-401-5-5-3-1-Е Ду40/40+50/40</t>
  </si>
  <si>
    <t>ВИС.Т ТС-401-5-5-3-1-Е Ду40/40+50/50</t>
  </si>
  <si>
    <t>ВИС.Т ТС-401-5-5-3-1-Е Ду50/50+40/25</t>
  </si>
  <si>
    <t>ВИС.Т ТС-401-5-5-3-1-Е Ду50/50+50/40</t>
  </si>
  <si>
    <t>ВИС.Т ТС-401-5-5-3-1-Е Ду50/50+50/50</t>
  </si>
  <si>
    <t>ВИС.Т ТС-401-5-5-3-1-Е Ду50/50+80/50</t>
  </si>
  <si>
    <t>ВИС.Т ТС-401-5-5-3-1-Е Ду80/80+50/40</t>
  </si>
  <si>
    <t>ВИС.Т ТС-401-5-5-3-1-Е Ду80/80+80/50</t>
  </si>
  <si>
    <t>ВИС.Т ТС-401-5-5-3-1-Е Ду80/80+80/80</t>
  </si>
  <si>
    <t>ВИС.Т ТС-401-5-6-2-0-Е Ду80/80+40/40</t>
  </si>
  <si>
    <t>Вычислитель ВКТ-7-04-1-0-1</t>
  </si>
  <si>
    <t>Измеритель температуры ИТ-17С</t>
  </si>
  <si>
    <t>Имитатор расхода ИПР-4 для КМ-5</t>
  </si>
  <si>
    <t>Кабель PC-186-VDE-10M 10м Gembird</t>
  </si>
  <si>
    <t>Клапан для РДУК-200/140 в сборе с седлом</t>
  </si>
  <si>
    <t>Клеммник MA412-500M2 Deca 301-021-12</t>
  </si>
  <si>
    <t>Клеммник МА412-500М3 Deca 301-031-12</t>
  </si>
  <si>
    <t>КМ-5-1-С-1ПР100/нет-В1-ИСП1-Ф-0-П100-0Р</t>
  </si>
  <si>
    <t>КМ-5-1-С-1ПР25/нет-В1-ИСП1-Ф-0-П100-0Р-0</t>
  </si>
  <si>
    <t>КМ-5-1-С-1ПР32/нет-В1-ИСП1-Ф-0-П100-0Р-0</t>
  </si>
  <si>
    <t>КМ-5-1-С-1ПР40/нет-В1-ИСП1-Ф-0-П100-0Р-0</t>
  </si>
  <si>
    <t>КМ-5-1-С-1ПР50/нет-В1-ИСП1-Ф-0-П100-0Р-0</t>
  </si>
  <si>
    <t>КМ-5-1-С-1ПР80/нет-В1-ИСП1-Ф-0-П100-0Р-0</t>
  </si>
  <si>
    <t>КМ-5-2-С-2ПР25-В1-ИСП1-Ф-0-pt100-0Р-0-1</t>
  </si>
  <si>
    <t>КМ-5-2-С-2ПР32-В1-ИСП1-Ф-0-pt100-0Р-0-1</t>
  </si>
  <si>
    <t>КМ-5-2-С-2ПР40-В1-ИСП1-Ф-0-pt100-0Р-0-1</t>
  </si>
  <si>
    <t>КМ-5-2-С-2ПР50-В1-ИСП1-Ф-0-pt100-0Р-0-1</t>
  </si>
  <si>
    <t>КМ-5-2-С-2ПР65-В1-ИСП1-Ф-0-pt100-0Р-0-1</t>
  </si>
  <si>
    <t>КМ-5-2-С-2ПР80-В1-ИСП1-Ф-0-pt100-0Р-0-1</t>
  </si>
  <si>
    <t>КМ-5-4-С-2ПР100/80-В1-ИСП1-Ф-0-pt100-0Р</t>
  </si>
  <si>
    <t>КМ-5-4-С-2ПР25-В1-ИСП1-Ф-0-pt100-0Р-0-1</t>
  </si>
  <si>
    <t>КМ-5-4-С-2ПР32/25-В1-ИСП1-Ф-0-pt100-0Р-0</t>
  </si>
  <si>
    <t>КМ-5-4-С-2ПР32-В1-ИСП1-Ф-0-pt100-0Р-0-1</t>
  </si>
  <si>
    <t>КМ-5-4-С-2ПР40/32-В1-ИСП1-Ф-0-pt100-0Р-0</t>
  </si>
  <si>
    <t>КМ-5-4-С-2ПР40-В1-ИСП1-Ф-0-pt100-0Р-0-1</t>
  </si>
  <si>
    <t>КМ-5-4-С-2ПР50/32-В1-ИСП1-Ф-0-pt100-0Р</t>
  </si>
  <si>
    <t>КМ-5-4-С-2ПР50/40-В1-ИСП1-Ф-0-pt100-0Р-0</t>
  </si>
  <si>
    <t>КМ-5-4-С-2ПР50-В1-ИСП1-Ф-0-pt100-0Р-0-1</t>
  </si>
  <si>
    <t>КМ-5-4-С-2ПР65/50-В1-ИСП1-Ф-0-pt100-0Р-0</t>
  </si>
  <si>
    <t>КМ-5-4-С-2ПР65-В1-ИСП1-Ф-0-pt100-0Р-0-1</t>
  </si>
  <si>
    <t>КМ-5-4-С-2ПР80/50-В1-ИСП1-Ф-0-pt100-0Р-0</t>
  </si>
  <si>
    <t>КМ-5-4-С-2ПР80-В1-ИСП1-Ф-0-pt100-0Р-0-1</t>
  </si>
  <si>
    <t>Комплект переходных кабелей для ИПР</t>
  </si>
  <si>
    <t>Комплект термопр. КТСП-Н 5.0.02.00.4.3.3</t>
  </si>
  <si>
    <t>Комплект термопр. КТСП-Н 5.0.04.00.4.3.3</t>
  </si>
  <si>
    <t>Комплект термопр. КТСП-Н 5.0.05.00.4.3.3</t>
  </si>
  <si>
    <t>Комплект термопреобр. КТС-Б тип 3 100мм</t>
  </si>
  <si>
    <t>Комплект термопреобр. КТС-Б тип 3 60мм</t>
  </si>
  <si>
    <t>Конденсатор CC0805JRX7R9BB103 Yageo</t>
  </si>
  <si>
    <t>Конденсатор T491B106K016AT Kemet</t>
  </si>
  <si>
    <t>Конденсатор T491B226K016AT Kemet</t>
  </si>
  <si>
    <t>Конденсатор Tecap 22мкФ 16В Hitachi Aic</t>
  </si>
  <si>
    <t>Конденсатор КД2 50В 0,1мкФ</t>
  </si>
  <si>
    <t>Конденсатор СС0805JRX7R9BB104 Yageo</t>
  </si>
  <si>
    <t>Контроллер Icpdas I-7188XA</t>
  </si>
  <si>
    <t>КТПТР-01-2-100П-160</t>
  </si>
  <si>
    <t>КТСПР 001-1-100П-1,391-2-160</t>
  </si>
  <si>
    <t>КТСПР 001-1-100П-1,391-4-100</t>
  </si>
  <si>
    <t>Микросхема 24LC16B-I/SN SO-8</t>
  </si>
  <si>
    <t>Микросхема AD780ANZ DIP-8</t>
  </si>
  <si>
    <t>Микросхема AD780BR SO-8</t>
  </si>
  <si>
    <t>Микросхема ADG407BN PDIP-28</t>
  </si>
  <si>
    <t>Микросхема ADG411BN DIP-16</t>
  </si>
  <si>
    <t>Микросхема ADG411BR</t>
  </si>
  <si>
    <t>Микросхема ADG419BR</t>
  </si>
  <si>
    <t>Микросхема AT29C040A DIP</t>
  </si>
  <si>
    <t>Микросхема IRF7343PBF Internat.Rectifier</t>
  </si>
  <si>
    <t>Микросхема MAX397EWI SO-28</t>
  </si>
  <si>
    <t>Микросхема MC79L15ACD SO-8</t>
  </si>
  <si>
    <t>Микросхема MSP430F149IPM QFP-64</t>
  </si>
  <si>
    <t>Микросхема OP97FS</t>
  </si>
  <si>
    <t>Микросхема КР512ПС10 DIP-16</t>
  </si>
  <si>
    <t>Модуль ввода Icpdas I-7067D</t>
  </si>
  <si>
    <t>Переключатель SWD1-6 DIP</t>
  </si>
  <si>
    <t>Плата ВАУМ.687254.024-01</t>
  </si>
  <si>
    <t>Плата имитатора ВАУМ.687253,017</t>
  </si>
  <si>
    <t>Плата ИСТВ.687254.026-01</t>
  </si>
  <si>
    <t>Плата платформа подключ. КМ-5-6И вер. V4</t>
  </si>
  <si>
    <t>Плата платформа подключения КМ-5 вер. 8В</t>
  </si>
  <si>
    <t>Плата процессорного блока для SA-9304</t>
  </si>
  <si>
    <t>Платформа подключения для ППС-1П-И2</t>
  </si>
  <si>
    <t>Повторитель RS-232 Icpdas I-7551</t>
  </si>
  <si>
    <t>Преобраз. расх ПРЭМ-32-L0-0-0-B1 сэндвич</t>
  </si>
  <si>
    <t>Прибор микропроцессорный Элтеко К3</t>
  </si>
  <si>
    <t>Принтер Epson LX-300+II А4</t>
  </si>
  <si>
    <t>Расходомер Взлёт ЭР ЭРСВ-420Л Ду100</t>
  </si>
  <si>
    <t>Расходомер Взлёт ЭР ЭРСВ-420Л Ду25</t>
  </si>
  <si>
    <t>Расходомер Взлёт ЭР ЭРСВ-420Л Ду32</t>
  </si>
  <si>
    <t>Расходомер Взлёт ЭР ЭРСВ-420Л Ду50</t>
  </si>
  <si>
    <t>Расходомер Взлёт ЭР ЭРСВ-420Л Ду80</t>
  </si>
  <si>
    <t>Расходомер Взлёт ЭР ЭРСВ-430Л Ду100</t>
  </si>
  <si>
    <t>Расходомер Взлёт ЭР ЭРСВ-430Л Ду25</t>
  </si>
  <si>
    <t>Расходомер Взлёт ЭР ЭРСВ-430Л Ду32</t>
  </si>
  <si>
    <t>Расходомер Взлёт ЭР ЭРСВ-430Л Ду80</t>
  </si>
  <si>
    <t>Регулятор PДУK-2Н-100/50 Ду100 Ру12</t>
  </si>
  <si>
    <t>Регулятор давления РДУК2-200/105</t>
  </si>
  <si>
    <t>Регулятор РДУК-2Н-200/140 Ду200 Ру12</t>
  </si>
  <si>
    <t>Регулятор управления тип КВ РДУК-2В-200</t>
  </si>
  <si>
    <t>Регулятор управления тип КН РДУК-2Н-200</t>
  </si>
  <si>
    <t>Резистор С2-23-0,125-15КОм 5%</t>
  </si>
  <si>
    <t>Резистор С2-23-0,125-2КОм 5%-А-В-В</t>
  </si>
  <si>
    <t>Резистор С2-23-0,125-39Ом 5%-А-В-В</t>
  </si>
  <si>
    <t>Резистор С2-23-0,125-47кОм 5%-Б-В-В</t>
  </si>
  <si>
    <t>Резистор С2-23-0,25-220Ом 1%-А-В-В</t>
  </si>
  <si>
    <t>Резистор С2-23-0,5-15Ом 5%</t>
  </si>
  <si>
    <t>Ремкомплект R33/А</t>
  </si>
  <si>
    <t>Ремкомплект Reval 182 и ПЗК SB82 Ду150</t>
  </si>
  <si>
    <t>Ремкомплект Пилот 204/А</t>
  </si>
  <si>
    <t>РСМ-05.05-ПРП-25-0-0-0-0-0-0-1-2-2-220</t>
  </si>
  <si>
    <t>РСМ-05.05-ПРП-32-0-0-0-0-0-0-1-2-2-220</t>
  </si>
  <si>
    <t>РСМ-05.05-ПРП-50-0-0-0-0-0-0-1-2-2-220</t>
  </si>
  <si>
    <t>РСМ-05.07-ПРП-100-100-0-0-0-0-0-0-1-2-2</t>
  </si>
  <si>
    <t>РСМ-05.07-ПРП-100-50-0-0-0-0-0-0-1-2-2</t>
  </si>
  <si>
    <t>РСМ-05.07-ПРП-100-80-0-0-0-0-0-0-1-2-2</t>
  </si>
  <si>
    <t>РСМ-05.07-ПРП-25-25-0-0-0-1-0-0-1-2-2</t>
  </si>
  <si>
    <t>РСМ-05.07-ПРП-32-32-0-0-0-0-0-0-1-2-2</t>
  </si>
  <si>
    <t>РСМ-05.07-ПРП-50-32-0-0-0-0-0-0-1-2-2</t>
  </si>
  <si>
    <t>РСМ-05.07-ПРП-50-50-0-0-0-0-0-0-1-2-2</t>
  </si>
  <si>
    <t>РСМ-05.07-ПРП-80-50-0-0-0-0-0-0-1-2-2</t>
  </si>
  <si>
    <t>РСМ-05.07-ПРП-80-80-0-0-0-0-0-0-1-2-2</t>
  </si>
  <si>
    <t>Стержень кл. 11/100 Profi Stayer 0682-H6</t>
  </si>
  <si>
    <t>Elster Альфа А1140RAL-BW-4T</t>
  </si>
  <si>
    <t>VA2305M-1-0-100-D-1,0-2</t>
  </si>
  <si>
    <t>VA2305M-1-0-25-D-0,1-2</t>
  </si>
  <si>
    <t>VA2305M-1-0-40-D-0,2-2</t>
  </si>
  <si>
    <t>VA2305M-1-0-50-D-0,25-2</t>
  </si>
  <si>
    <t>VA2305M-1-0-80-D-1,0-2</t>
  </si>
  <si>
    <t>Устройство переноса данных УПД-2У</t>
  </si>
  <si>
    <t>Элемент гальв. Minamoto ER26500/С1 3,6В</t>
  </si>
  <si>
    <t>2010г.</t>
  </si>
  <si>
    <t>2011г</t>
  </si>
  <si>
    <t>2013г.</t>
  </si>
  <si>
    <t>2010 г</t>
  </si>
  <si>
    <t>Паспорт № 105505</t>
  </si>
  <si>
    <t>Паспорт № 122755, 122753</t>
  </si>
  <si>
    <t>Паспорт № 122752</t>
  </si>
  <si>
    <t>Паспорт № 112156, 112157, 112158, 31629</t>
  </si>
  <si>
    <t>Паспорт № 122760</t>
  </si>
  <si>
    <t>Паспорт № 122761, 122762, 122763, 122764, 122765, 122766, 122768, 122769, 122770</t>
  </si>
  <si>
    <t xml:space="preserve">Паспорт № 112170, 112171, 31579 </t>
  </si>
  <si>
    <t>Паспотр № 112180, 112181, 112182, 112183, 112184, 112185, 112781</t>
  </si>
  <si>
    <t>Паспорт № 112816, 112817, 112818</t>
  </si>
  <si>
    <t>Паспорт № 122820, 122821</t>
  </si>
  <si>
    <t>Паспорт № 112823, 112824</t>
  </si>
  <si>
    <t>Паспорт № 122826</t>
  </si>
  <si>
    <t>Паспорт № 122827</t>
  </si>
  <si>
    <t>Паспорт № 111268</t>
  </si>
  <si>
    <t>Паспорт № 122828, 122829, 122830</t>
  </si>
  <si>
    <t>Паспорт № 122831, 122832, 122833, 122834, 122835, 122836, 122837</t>
  </si>
  <si>
    <t xml:space="preserve">Паспорт № 112248, 112249, 30989, 30999 </t>
  </si>
  <si>
    <t>Паспорт № 106348, 106352, 106350</t>
  </si>
  <si>
    <t>Паспорт № 112246, 112194, 112196, 112235, 31199</t>
  </si>
  <si>
    <t>Паспорт № 106280, 106282, 106281, 31429, 31419</t>
  </si>
  <si>
    <t xml:space="preserve">Пасорт № 106283, 106284, 106286, 106287 </t>
  </si>
  <si>
    <t>Паспорт № 122874</t>
  </si>
  <si>
    <t>Паспорт № 106291, 106288, 106292</t>
  </si>
  <si>
    <t xml:space="preserve">Паспорт № 112540, </t>
  </si>
  <si>
    <t>Паспорт № 122876, 122877</t>
  </si>
  <si>
    <t>Паспорт № 112252</t>
  </si>
  <si>
    <t>Паспорт № 122878</t>
  </si>
  <si>
    <t xml:space="preserve">Паспорт № 106343, 106344, 106345, 106346, 106347, 31009, 31019 </t>
  </si>
  <si>
    <t>Паспорт № 112243, 112244, 112245, 112262, 111264</t>
  </si>
  <si>
    <t>Паспорт ВАУМ.407312.114-__ПС заводские № 112241, 112242, 112267, 112240, 112266, 112265, 31089</t>
  </si>
  <si>
    <t xml:space="preserve">Паспорт № 106309, 106310, 106311, 106312, </t>
  </si>
  <si>
    <t>Пасорт № 105355, 105509, 106313, 106314, 106316, 106,317, 111271, 31179</t>
  </si>
  <si>
    <t>Паспорт № 112195, 122883, 122882</t>
  </si>
  <si>
    <t>Паспорт № 112229, 112230, 112231, 112232, 112233, 112234, 106320, 106321</t>
  </si>
  <si>
    <t>Паспорт № 106323, 106324, 106325, 106326, 106327</t>
  </si>
  <si>
    <t>Паспорт № 112221, 105514, 112222, 112278, 106337, 106334</t>
  </si>
  <si>
    <t>Паспорт № 112218, 112220, 105359, 106338, 106339, 106342, 31349</t>
  </si>
  <si>
    <t>Паспорт № 112255, 112256, 112257, 106358, 106359, 106361, 106362</t>
  </si>
  <si>
    <t>Паспорт № 122899, 122898</t>
  </si>
  <si>
    <t>Паспорт №122900</t>
  </si>
  <si>
    <t>Паспорт №122901</t>
  </si>
  <si>
    <t>Паспорт № 340916</t>
  </si>
  <si>
    <t>Паспорт № 357108</t>
  </si>
  <si>
    <t>Паспорт № 357055, 357182, 356338, 357057, 357073, 357056, 357060, 357052, 357049, 357048, 356332, 356337, 357177, 357189, 357074, 357061, 357044, 357050</t>
  </si>
  <si>
    <t>Паспорт № 355542, 355952, 355944, 355940</t>
  </si>
  <si>
    <t>Паспорт № 352392, 354585, 340572</t>
  </si>
  <si>
    <t>Паспорт № 352201, 353086, 341280, 353536, 353542</t>
  </si>
  <si>
    <t>Паспорт № 324295/324257, 323112/323009, 316904/316859, 308638/308611, 308889/308867, 309314/309262, 309318/309256, 308895/308873</t>
  </si>
  <si>
    <t>Паспорт № 355635/355576, 356335/356314, 356107/356063, 356838/356826, 356336/356308, 356837/356827, 356837/356827, 356330/356315,357728/357704</t>
  </si>
  <si>
    <t>Паспорт № 357788/357750, 357825/357807, 357784/357756, 357827/357809, 357782/357749, 357820/357802, 357832/357798, 357816/357801, 357830/357813, 357831/357808, 357785/357748, 357741/357483</t>
  </si>
  <si>
    <t>Паспорт № 357864/357835, 357904/357884, 355179/355162, 357675/357666, 355191/355146, 357859/357843, 357860/357836, 357906/357890, 355610/355551, 357857/357854, 357872/357851, 357862/357849, 357874/357833, 357875/357850</t>
  </si>
  <si>
    <t>Паспорт № 355631/355581, 355619/355580, 357566/357563, 355620/355594, 309177/309150,306175/306143, 309171/309132</t>
  </si>
  <si>
    <t>Паспорт № 355826/355776, 355847/355767, 356354/356409, 357308/357290, 357311/357282, 357127/357120, 357144/357122, 355816/355777, 357128/357121, 355842/355771, 355821/355760, 357310/357286, 355825/355769</t>
  </si>
  <si>
    <t xml:space="preserve">Паспорт № 334448/334374, 307214/307191, 353750/353738, </t>
  </si>
  <si>
    <t>Паспорт № 358017/357993, 358020/358010, 357793/357763, 358019/357988, 357792/357760, 357780/357761, 357795/357772, 358018/357998, 359096/356079, 358023/358006, 357794/357777, 357787/357776, 357790/357759, 356878/356863, 355748/355683, 357789/357778, 358022/358008, 356103/056087, 355740/355681, 356880/356855, 357783/357775, 358016/358007, 356882/356861, 357791/357758</t>
  </si>
  <si>
    <t>Паспорт № 331257/331073, 341650/341863, 341857/341862, 331367/331047, 331365/331037, 341846/341867, 331223/331027</t>
  </si>
  <si>
    <t>Паспорт № 309241/309193, 354975/354962, 356007/355986, 356016/355978, 356005/355967, 356021/355972, 356039/355984, 353060/352026</t>
  </si>
  <si>
    <t>Паспорт № 330795/330754, 330820/330737, 330785/330760, 330822/330756, 330815/330734</t>
  </si>
  <si>
    <t>Паспорт № 330985/330870, 330995/330851, 331201/331169, 331198/331183, 331203/331140, 331194/331178, 330980/330859, 330986/330873, 331204/331168, 353973/353887, 356648/356643, 330982/330860, 330962/330852, 353846/353897, 331202/331313, 331196/331166, 331195/331156, 353969/353898, 330963/330833</t>
  </si>
  <si>
    <t>Паспорт № 356652/356640, 356699/356688, 355717/355668</t>
  </si>
  <si>
    <t>Паспорт № 357071/356893, 357779/354690, 353845/353837, 357053/356952, 353859/353842, 354757/354694, 354758/354697, 339853/339483, 354760/354693</t>
  </si>
  <si>
    <t>Паспорт № 305124/305066, 306197/306156, 306200/306111, 355401/355111, 356034/356000, 356026/356002, 355139/355386</t>
  </si>
  <si>
    <t>Паспорт  № 331493/331529, 357316/357234, 357296/357231, 357297/357249, 357318/357245, 357298/357240</t>
  </si>
  <si>
    <t>Паспорт № 333523/333247, 332219/331510, 334322/334293, 334251/334187, 334220/334164, 334354/334299</t>
  </si>
  <si>
    <t>Сертификат соответствия №РОСС RU.МГ05.В00088 срок действия 22.09.2010-22.09.2013 бланк №0439562, паспорт ТУ 4218-001-84114708-08</t>
  </si>
  <si>
    <t>Паспорт № 159160, 159163, 159164, 159169, 159178, 159207, 159216, 159250, 159251, 159255</t>
  </si>
  <si>
    <t xml:space="preserve">Паспорт № 158818, 158948, 158699, 159056, 158685, 158690, 158957,  158977, 159056, 159045, 159046 </t>
  </si>
  <si>
    <t>Паспорт № 158436, 158833, 158836, 158980, 158981, 158986, 158987, 158991, 158995</t>
  </si>
  <si>
    <t>Паспорт № 176715, 270654, 270658, 270660, 270673, 270675</t>
  </si>
  <si>
    <t>Паспорт № 176898, 176769, 176852, 176774, 176900, 176777, 176896, 176815, 176780, 176814, 176778</t>
  </si>
  <si>
    <t>Паспорт № 176637, 176639, 176737, 176738, 176740, 176741, 176742, 176745, 176822, 176825, 176826, 176834, 176837</t>
  </si>
  <si>
    <t>Паспорт № 176543, 176766, 176551, 176763, 176759, 176764</t>
  </si>
  <si>
    <t>Паспорт № 176803, 176804, 176805, 176807, 176642, 176812, 176813, 177111, 177115</t>
  </si>
  <si>
    <t>Паспорт № 176631, 176635, 176648, 176649, 176673, 176871, 176682, 176887, 176991, 270473, 270477</t>
  </si>
  <si>
    <t>Паспорт № 270632, 270739</t>
  </si>
  <si>
    <t>Паспорт № 270749, 270733, 270700, 270732, 270740, 270743, 270748, 270690, 270718, 270721, 270730, 270704, 270701</t>
  </si>
  <si>
    <t>Паспорт № 270687, 270711, 270709, 270676, 270724, 270678, 270611, 270637, 270706, 270604, 270725, 270716, 270726, 270603</t>
  </si>
  <si>
    <t xml:space="preserve"> ВКТ-7-04-1-0-1</t>
  </si>
  <si>
    <t xml:space="preserve"> ИПР-4 для КМ-5</t>
  </si>
  <si>
    <t>CC0805JRX7R9BB103 Yageo</t>
  </si>
  <si>
    <t>T491B106K016AT Kemet</t>
  </si>
  <si>
    <t>T491B226K016AT Kemet</t>
  </si>
  <si>
    <t>Tecap 22мкФ 16В Hitachi Aic</t>
  </si>
  <si>
    <t>КД2 50В 0,1мкФ</t>
  </si>
  <si>
    <t>СС0805JRX7R9BB104 Yageo</t>
  </si>
  <si>
    <t>24LC16B-I/SN SO-8</t>
  </si>
  <si>
    <t>AD780ANZ DIP-8</t>
  </si>
  <si>
    <t xml:space="preserve"> AD780BR SO-8</t>
  </si>
  <si>
    <t xml:space="preserve"> ADG407BN PDIP-28</t>
  </si>
  <si>
    <t xml:space="preserve"> ADG411BN DIP-16</t>
  </si>
  <si>
    <t xml:space="preserve"> ADG411BR</t>
  </si>
  <si>
    <t xml:space="preserve"> ADG419BR</t>
  </si>
  <si>
    <t xml:space="preserve"> AT29C040A DIP</t>
  </si>
  <si>
    <t xml:space="preserve"> IRF7343PBF Internat.Rectifier</t>
  </si>
  <si>
    <t xml:space="preserve"> MAX397EWI SO-28</t>
  </si>
  <si>
    <t xml:space="preserve"> MC79L15ACD SO-8</t>
  </si>
  <si>
    <t xml:space="preserve"> MSP430F149IPM QFP-64</t>
  </si>
  <si>
    <t xml:space="preserve"> OP97FS</t>
  </si>
  <si>
    <t xml:space="preserve"> КР512ПС10 DIP-16</t>
  </si>
  <si>
    <t>КМ-5-6И вер. V4</t>
  </si>
  <si>
    <t xml:space="preserve"> КМ-5 вер. 8В</t>
  </si>
  <si>
    <t xml:space="preserve"> Epson LX-300+II А4</t>
  </si>
  <si>
    <t>НП-4А</t>
  </si>
  <si>
    <t xml:space="preserve"> Взлёт ЭР ЭРСВ-420Л Ду100</t>
  </si>
  <si>
    <t xml:space="preserve"> Взлёт ЭР ЭРСВ-420Л Ду25</t>
  </si>
  <si>
    <t xml:space="preserve"> Взлёт ЭР ЭРСВ-420Л Ду32</t>
  </si>
  <si>
    <t xml:space="preserve"> Взлёт ЭР ЭРСВ-420Л Ду50</t>
  </si>
  <si>
    <t xml:space="preserve"> Взлёт ЭР ЭРСВ-420Л Ду80</t>
  </si>
  <si>
    <t xml:space="preserve"> Взлёт ЭР ЭРСВ-430Л Ду100</t>
  </si>
  <si>
    <t xml:space="preserve"> Взлёт ЭР ЭРСВ-430Л Ду25</t>
  </si>
  <si>
    <t xml:space="preserve"> Взлёт ЭР ЭРСВ-430Л Ду32</t>
  </si>
  <si>
    <t>Взлёт ЭР ЭРСВ-430Л Ду80</t>
  </si>
  <si>
    <t xml:space="preserve"> PДУK-2Н-100/50 Ду100 Ру12</t>
  </si>
  <si>
    <t xml:space="preserve"> РДУК2-200/105</t>
  </si>
  <si>
    <t xml:space="preserve"> РДУК-2Н-200/140 Ду200 Ру12</t>
  </si>
  <si>
    <t xml:space="preserve"> С2-23-0,125-15КОм 5%</t>
  </si>
  <si>
    <t>С2-23-0,125-2КОм 5%-А-В-В</t>
  </si>
  <si>
    <t xml:space="preserve"> С2-23-0,125-39Ом 5%-А-В-В</t>
  </si>
  <si>
    <t xml:space="preserve"> С2-23-0,125-47кОм 5%-Б-В-В</t>
  </si>
  <si>
    <t xml:space="preserve"> С2-23-0,25-220Ом 1%-А-В-В</t>
  </si>
  <si>
    <t xml:space="preserve"> С2-23-0,5-15Ом 5%</t>
  </si>
  <si>
    <t>УПД-2У</t>
  </si>
  <si>
    <t>Minamoto ER26500/С1 3,6В</t>
  </si>
  <si>
    <t>Насос К-100-65-200a/2-5 18,5/2900</t>
  </si>
  <si>
    <t>Ревун переменного тока 3РВП 220</t>
  </si>
  <si>
    <t>Датчик напора НМП52 0-4</t>
  </si>
  <si>
    <t>М-150CG2(0-4кПа)2211L3AM5D52B1K01PA</t>
  </si>
  <si>
    <t>М-150CG1(0-1,6кПа)2211L3AM5D52K03РА</t>
  </si>
  <si>
    <t>Датчик-реле напора и тяги ДЕМ 107</t>
  </si>
  <si>
    <t>Датчик-реле давления DG-6UG-3</t>
  </si>
  <si>
    <t>Карман для датчика ZTF 222 800 698</t>
  </si>
  <si>
    <t>Датчик ZTF 222 Tem 800698</t>
  </si>
  <si>
    <t>Датчик т-ры ZTR 222</t>
  </si>
  <si>
    <t>Обратный клапан для сред.ж тип 812 Ду025</t>
  </si>
  <si>
    <t>Заглушка 32х3 Г17379-2001</t>
  </si>
  <si>
    <t>Угольник с фланцами DN 40</t>
  </si>
  <si>
    <t>Уголок с фланцами ду40</t>
  </si>
  <si>
    <t>Клапан MSV-F2 Ду50 Ру16 003Z1061</t>
  </si>
  <si>
    <t>Двухканальный измеритель-регулятор темпе</t>
  </si>
  <si>
    <t>Автомат контр. герм. ТС410-1Т 84765810А</t>
  </si>
  <si>
    <t>Труба М601 Dreizler</t>
  </si>
  <si>
    <t>Реле давления газа DG 50 B</t>
  </si>
  <si>
    <t>Электрод контр. КЭ-01-01 D10 L690</t>
  </si>
  <si>
    <t>Электрод 14/150/200 1-полюс. для М-301AR</t>
  </si>
  <si>
    <t>Электрод розжига М301</t>
  </si>
  <si>
    <t>Электрод розжига М601</t>
  </si>
  <si>
    <t>Электрод ионизации М601</t>
  </si>
  <si>
    <t>Подшипник 3530Н ГОСТ 5721-75</t>
  </si>
  <si>
    <t>Подшипник 226</t>
  </si>
  <si>
    <t>Подшипник 5-60305 Ш2</t>
  </si>
  <si>
    <t>Подшипник 180609 АС17</t>
  </si>
  <si>
    <t>Подшипник 3626КН ГОСТ 5721-75</t>
  </si>
  <si>
    <t>Подшипник 226 ГОСТ 8338-75</t>
  </si>
  <si>
    <t>Подшипник 76-322 Ш1</t>
  </si>
  <si>
    <t>Подшипник 76-180204 Ш1</t>
  </si>
  <si>
    <t>Подшипник 5-180610 Ш2</t>
  </si>
  <si>
    <t>Подшипник 180607АС17 ГОСТ 8882-75</t>
  </si>
  <si>
    <t>Насос DPV 4-30 0,55/2900</t>
  </si>
  <si>
    <t>Изолятор ИОР-6-250 У3 6кВ</t>
  </si>
  <si>
    <t>Э/дв ас. АИР71B2У2 1,1/2800 IM3081 2р=2</t>
  </si>
  <si>
    <t>Электродвигатель АИРМ63 В4 0,37/1500</t>
  </si>
  <si>
    <t>Эл.двигатель АИР 71В2 1,1/3000</t>
  </si>
  <si>
    <t>Электродвигатель 4АМА100L2 5,5/3000</t>
  </si>
  <si>
    <t>Электродвигатель вентилятора Kper 80 G2</t>
  </si>
  <si>
    <t>Эл.двигатель вентил. ОМР 71 В2</t>
  </si>
  <si>
    <t>Э/дв ас. VEM KPER 80 G2 1,1/2830</t>
  </si>
  <si>
    <t>06.2012г</t>
  </si>
  <si>
    <t>04.2013г.</t>
  </si>
  <si>
    <t>08.2013г.</t>
  </si>
  <si>
    <t>1-400-25 ст. 20 Г12820</t>
  </si>
  <si>
    <t>К-100-65-200a/2-5 18,5/</t>
  </si>
  <si>
    <t>3РВП 2</t>
  </si>
  <si>
    <t>НМП52 0-4</t>
  </si>
  <si>
    <t>Датчик избыточного давления Метран-55-Вн-ДИ-515-МП-t10-050-0,25МПа-42-С</t>
  </si>
  <si>
    <t>Колено сварное секторное 90-1020х14-2,5 09Г2С 160 ОСТ 34.10.752-97</t>
  </si>
  <si>
    <t>Колено сварное секторное 90-1220х14-2,5 09Г2С 162 ОСТ 34.10.752-97</t>
  </si>
  <si>
    <t>Колено сварное секторное 90-720х11-2,5 09Г2С 156 ОСТ 34.10.752-97</t>
  </si>
  <si>
    <t>Колено сварное секторное 90-820х11-2,5 09Г2С 158 ОСТ 34.10.752-97</t>
  </si>
  <si>
    <t>Отвод крутоизогнутый 30-325х10-20 ГОСТ 17375-2001</t>
  </si>
  <si>
    <t>Отвод сварной 90-1420х18-09Г2С-2,5 2,5МПа по серии 5.903-13 выпуск 1 ТС 583.000-255</t>
  </si>
  <si>
    <t>Отвод крутоизогнутый 90-630х12-20 ГОСТ 17375-2001</t>
  </si>
  <si>
    <t>Отвод сварной 90-920х14-09Г2С-2,5 2,5МПа по серии 5.903-13 выпуск 1 ТС-583.000-250</t>
  </si>
  <si>
    <t>Отводы 273*10мм</t>
  </si>
  <si>
    <t>Отводы 920*12 мм</t>
  </si>
  <si>
    <t>Теплосчётчик ВИС.Т ТС-200-3-3-2-1 Ду80/80 НПО Тепловизор</t>
  </si>
  <si>
    <t>Теплосчётчик ВИС.Т ТС-200-2-2-1-1 Ду40/40 НПО Тепловизор</t>
  </si>
  <si>
    <t>Механизм исполнительный электрический однооборотный рычажный МЭО-100/25-0,25-99 У 220/380В 50Гц IP54</t>
  </si>
  <si>
    <t>Теплосчётчик SA-94/2М-3-ПРН-040/040-ФЛ/ФЛ-Т-2-1-2/нет-1</t>
  </si>
  <si>
    <t>Теплосчётчик SA-94/2М-3-ПРН-050/050-ФЛ/ФЛ-Т-2-1-2/нет-1</t>
  </si>
  <si>
    <t>Теплосчётчик SA-94/2М-3-ПРН-080/080-ФЛ/ФЛ-Т-2-1-1/нет-1</t>
  </si>
  <si>
    <t>Миниконтактор В7-40-00 4п 12А 220В АВВ GJL1311201R8000</t>
  </si>
  <si>
    <t>Компенсатор сильфонный 1КСО-25-900</t>
  </si>
  <si>
    <t>Компенсатор сильфонный осевой КСО-25-1000-220</t>
  </si>
  <si>
    <t>Компенсатор сильфонный осевой КСО-25-900-210</t>
  </si>
  <si>
    <t>Клапан запорно-регулирующий фланцевый АГТ-71-200/16 Kv250 НПО Аркон</t>
  </si>
  <si>
    <t>Клапан запорно-регулирующий фланцевый  АГТ-71-65/16кв63</t>
  </si>
  <si>
    <t>Затвор поворотный дисковый Ду150 Pу16, ВА 99001-150-16-II-З-Е-ЭП-М-4-Б-7 ТУ 3741-001-29012225-2004</t>
  </si>
  <si>
    <t>Кран Ду50 Ру40 КШГ 70.110.050</t>
  </si>
  <si>
    <t>3.NV.1204-2002</t>
  </si>
  <si>
    <t>Паспорт, дата изготовления 25.09.2015г..</t>
  </si>
  <si>
    <t>3.NV.1206-2002</t>
  </si>
  <si>
    <t>(0609) ул. Днепропетровская, д.12Б</t>
  </si>
  <si>
    <t>(0606) Пролетарский пр-т, д.8,к.2, стр.3</t>
  </si>
  <si>
    <t>Задвижка 30ч6бр Ду125 Ру10</t>
  </si>
  <si>
    <t>Зонд ионизационный Изюмс-01-1-800</t>
  </si>
  <si>
    <t>30ч6бр Ду125 Ру10</t>
  </si>
  <si>
    <t>Изюмс-01-1-800</t>
  </si>
  <si>
    <t>Преобразоват. NXC 06506G2L0SSGA1B5B4B5C5</t>
  </si>
  <si>
    <t>Трансформатор KTK 800кВА 10/0,69кВ</t>
  </si>
  <si>
    <t>DS200-780-2502-1-1-2-100-800-1-00R</t>
  </si>
  <si>
    <t>Блок PLC-RSC-24DC/21AU 2966265</t>
  </si>
  <si>
    <t>ИПТВ-206-М3-04-1-160-PLT-164-5-360П-ГП</t>
  </si>
  <si>
    <t>Кабель TK 890F 10м ABB 3BDM000202R1</t>
  </si>
  <si>
    <t>Комплект радиоупр. А 24-8D Telecrane</t>
  </si>
  <si>
    <t>Контакт сигнальный SE GVAD1010</t>
  </si>
  <si>
    <t>Короб перф. T1-EF 60х80 DKC 01128</t>
  </si>
  <si>
    <t>Лампа ДРЛ 125W E-27 Полтава</t>
  </si>
  <si>
    <t>Лампа КГ 220-1000-5 1000Вт 220В</t>
  </si>
  <si>
    <t>Модем TB820V2 ABB 3BSE013208R1</t>
  </si>
  <si>
    <t>Модуль AI825 4-20мА ABB 3BSE036456R1</t>
  </si>
  <si>
    <t>Модуль DО820 ABB 3BSE008514R1</t>
  </si>
  <si>
    <t>Модуль ModuleBus TB807 ABB 3BSE008538R1</t>
  </si>
  <si>
    <t>Модуль TU810V1 ABB 3BSE013230R1</t>
  </si>
  <si>
    <t>Модуль TU811V1 ABB 3BSE013231R1</t>
  </si>
  <si>
    <t>Модуль ТU847 ABB 3BSE022462R1</t>
  </si>
  <si>
    <t>Наконечник токосъемный d 1,2мм</t>
  </si>
  <si>
    <t>Патрон К-4</t>
  </si>
  <si>
    <t>Перекл. пакетный ПМОФ90-111</t>
  </si>
  <si>
    <t>Пластина PLC-ATP BK 2966841</t>
  </si>
  <si>
    <t>Плата OPT-AN-V Vacon</t>
  </si>
  <si>
    <t>Плата SNMP-интерфейса C-IS-WEBL Emerson</t>
  </si>
  <si>
    <t>Порт TB842 ABB 3BSE022464R1</t>
  </si>
  <si>
    <t>Разделитель MINI MCR-SL-UI-2I-NC 2864176</t>
  </si>
  <si>
    <t>Разъём SUBCON 25/M-SH 2761622</t>
  </si>
  <si>
    <t>Расходомер-счётчик УРСВ-510ц/T Ду1200</t>
  </si>
  <si>
    <t>Реле H3YN-4 24DC Omron</t>
  </si>
  <si>
    <t>Реле MY4N-D2 24VDC (S) Omron</t>
  </si>
  <si>
    <t>Розетка JECK RJ-45</t>
  </si>
  <si>
    <t>Розетка RJ-11 телефонная накладная</t>
  </si>
  <si>
    <t>Схема логическая SS832 ABB 3BSC610068R1</t>
  </si>
  <si>
    <t>Узел УКП №2012.НПС410968</t>
  </si>
  <si>
    <t>Шкаф ОН №2011.НПС410722</t>
  </si>
  <si>
    <t>Шкаф ШРН-1М-2/50 н/разом. контакты</t>
  </si>
  <si>
    <t>Шкаф ШУТЗ №2012.НПС410968</t>
  </si>
  <si>
    <t>Паспорт Б/Н</t>
  </si>
  <si>
    <t>Сертификат №РОСС RU.ГБ06.В01051(бланк №0271899) с 11.10.2011 по 11.10.2014</t>
  </si>
  <si>
    <t>Сертификат №РОСС TW.Н01270 от 03.04.2012 (бланк № 0513413)</t>
  </si>
  <si>
    <t>Отказное письмо Б/Н</t>
  </si>
  <si>
    <t>Сертификат № ТС RU C-BY.АВ02.В.00148 Серия RU №0024014 с 01.08.2012 по 31.07.2015</t>
  </si>
  <si>
    <t>Сертификат № РОСС DE.АВ76.В01773 от 04.02.2013 (бланк № 0906443)</t>
  </si>
  <si>
    <t>Отказное письмо №101-КС/917 от 01.08.2013</t>
  </si>
  <si>
    <t>Сертификат об утверждении типа средств измерений GB.C.29.004.A №25224 действителен до 01.10.2011</t>
  </si>
  <si>
    <t>Кран Bohmer BBF/KSF-R Ду300 Ру40 SA07.6</t>
  </si>
  <si>
    <t>Кран Bohmer BBF/KSF-V Ду250 Ру40 AB1222</t>
  </si>
  <si>
    <t>Кран B-TF-P25-600-C-W4-B-W ред.</t>
  </si>
  <si>
    <t>Кран KMC B1-1-R-015-PN25-000-L-E-2</t>
  </si>
  <si>
    <t>Кран шар Баллостар под приварку полнопро</t>
  </si>
  <si>
    <t>Удлинение для шарового крана ф.800мм ред</t>
  </si>
  <si>
    <t>Устройство 2УКОУ 1000-2,5-200/О+-220/ПП</t>
  </si>
  <si>
    <t>Устройство 2УКОУ 900-2,5-200/О+-210/ПП</t>
  </si>
  <si>
    <t>Паспорт № 1105/4, 1105/6, 1105/7, 1105/8, 1105/9, 1105/10, 1105/11</t>
  </si>
  <si>
    <t>Паспорт № 1105/1</t>
  </si>
  <si>
    <t>Отвод 90-630х10-20 Г17375</t>
  </si>
  <si>
    <t>Отвод 90-630х10-20 Г30753</t>
  </si>
  <si>
    <t>Отвод 90-630х12-20 Г30753</t>
  </si>
  <si>
    <t>Отводы 1420*18мм</t>
  </si>
  <si>
    <t>Отводы 530*10мм</t>
  </si>
  <si>
    <t>Фильтр грязевик ТС-567 Ду200 Ру25 п/пр.</t>
  </si>
  <si>
    <t>Фильтр грязевик ТС-568 Ду1000 Ру16 п/пр.</t>
  </si>
  <si>
    <t>Паспорт № 15454 от 12.08.2013</t>
  </si>
  <si>
    <t>Паспорт № 1328 от 24.10.2012</t>
  </si>
  <si>
    <t>Паспорт № 24465 от 02.04.2012</t>
  </si>
  <si>
    <t>Паспорт № 1814 от 07.11.2012</t>
  </si>
  <si>
    <t>Паспорт № 00480 от 20.02.2012</t>
  </si>
  <si>
    <t>Дверь Dacobas 12U Knur 01.322.050.9</t>
  </si>
  <si>
    <t>Катод Lincoln Electric W03X0893-60A</t>
  </si>
  <si>
    <t>Лента-ПП 15,0х0,8ммх2000м Дувн200</t>
  </si>
  <si>
    <t>Манжета 1,2-30х52-1 ГОСТ 8752-79</t>
  </si>
  <si>
    <t>Метеокомплект МК-3М "Бриз"</t>
  </si>
  <si>
    <t>Набивка ПГН 3100 14х14 НПП ПромГрафит</t>
  </si>
  <si>
    <t>Набивка ПГН 3100 20х20 НПП ПромГрафит</t>
  </si>
  <si>
    <t>Наконечник Lincoln Electric W03X0893-64A</t>
  </si>
  <si>
    <t>Подшипник 6-314 ГОСТ 8228-75</t>
  </si>
  <si>
    <t>Подшипник верхний</t>
  </si>
  <si>
    <t>Сальник BLO 20 G</t>
  </si>
  <si>
    <t>Сальник BLO 25G</t>
  </si>
  <si>
    <t>Скоба PP16 1000шт/уп</t>
  </si>
  <si>
    <t>Стекла запасные ТС2Г-1</t>
  </si>
  <si>
    <t>Фильтр VS B.FLT G4 490x490</t>
  </si>
  <si>
    <t>Фильтр VS B.FLT G4 SET 2 490x490</t>
  </si>
  <si>
    <t>Шпилька М-52Х250</t>
  </si>
  <si>
    <t>Отвод 90-89х3,5-20 Г17375 оцинк.</t>
  </si>
  <si>
    <t>Декларация о соответствии РОСС US.АГ 75.Д18593 от 26.10.2012</t>
  </si>
  <si>
    <t>Сертификат № РОСС RU.АГ93.Н06019 от 27.12.2012 (бланк № 0935940)</t>
  </si>
  <si>
    <t>602-025 Редуктор1'' понижения давл.</t>
  </si>
  <si>
    <t>602-032 Редуктор1 1/4'' понижения давл.</t>
  </si>
  <si>
    <t>АУПД Гранлевел 2DPV 4/8 1,5 РР/П БР 1600</t>
  </si>
  <si>
    <t>Втулка статорная Графлекс Ду74</t>
  </si>
  <si>
    <t>Дроссель в сборе 6622.05.05 д/РДУК2-200</t>
  </si>
  <si>
    <t>Дроссель М16хМ16 для РДУК,РДБК дв. 1,5</t>
  </si>
  <si>
    <t>Дроссель М16хМ16 для РДУК,РДБК од. 2</t>
  </si>
  <si>
    <t>Дроссель М16хМ20 для РДУК,РДБК од. 1,5</t>
  </si>
  <si>
    <t>Дроссель М16хМ20 для РДУК,РДБК од. 2</t>
  </si>
  <si>
    <t>Затвор BFC800W2/GS Ду800 Ру25 А Vexve</t>
  </si>
  <si>
    <t>Затвор Ду200 Ру16 ЗП-ТЛ-FLN-5-200-MDV-HT</t>
  </si>
  <si>
    <t>Кабель Helukabel J-Y (ST)Y 1х2х0,8 33035</t>
  </si>
  <si>
    <t>Клапан BM5/150 OS/80X-BPA-D 0,75/0,05bar</t>
  </si>
  <si>
    <t>Клапан RA-N Ду20 Ру10 Danfoss 013G0016</t>
  </si>
  <si>
    <t>Клапан Ду150, Ballorex-S 3935600-605005</t>
  </si>
  <si>
    <t>Клапан ПСК-50Пн/20</t>
  </si>
  <si>
    <t>Компенсатор 40-13-4992 для ГТД-6РМ</t>
  </si>
  <si>
    <t>Компенсатор 820707220 для ГТД-6РМ</t>
  </si>
  <si>
    <t>Компенсатор В 60715710 для ГТД-6РМ</t>
  </si>
  <si>
    <t>Компенсатор Н 40705190 для ГТД-6РМ</t>
  </si>
  <si>
    <t>Компенсатор Н 50705440 для ГТД-6РМ</t>
  </si>
  <si>
    <t>Кран КНSVi-250-YII-KFC/AF Ру40</t>
  </si>
  <si>
    <t>Кран прбко-сальник 11Бббк.ДУ.15</t>
  </si>
  <si>
    <t>Муфта 4СТп-1-25/50</t>
  </si>
  <si>
    <t>Муфта концевая 3КВТП-10-25/50</t>
  </si>
  <si>
    <t>Муфта концевая 3КВТп-10-25/50 ПЗЭМИ</t>
  </si>
  <si>
    <t>Муфта концевая 3КВТп-10-70/120 ПЗЭМИ</t>
  </si>
  <si>
    <t>Муфта концевая 4КВПТ-1-70/120</t>
  </si>
  <si>
    <t>Муфта концевая 4КВтп-МСК-в-25/50 ПЗЭМИ</t>
  </si>
  <si>
    <t>Муфта соединит. 3СТП-10-150/240-Б</t>
  </si>
  <si>
    <t>Муфта соединит. 3СТП-10-25/50 с гильзами</t>
  </si>
  <si>
    <t>Муфта соединит. 3СТп-10-25/50-Б</t>
  </si>
  <si>
    <t>Насос AKN-100/2 ф190 18,5/3000</t>
  </si>
  <si>
    <t>Насос AL-1106/2 ф213 22/3000</t>
  </si>
  <si>
    <t>Насос AL-1106/2 ф232 30/3000</t>
  </si>
  <si>
    <t>Насос KN-65/2 ф180 15/3000</t>
  </si>
  <si>
    <t>Предохранитель для турбины В61100031</t>
  </si>
  <si>
    <t>Прокладка к ПТО H17 10751488</t>
  </si>
  <si>
    <t>Прокладка к ПТО N50 17275011</t>
  </si>
  <si>
    <t>Прокладка к ПТО Q030 30300216</t>
  </si>
  <si>
    <t>Прокладка к ПТО Q055 30610287</t>
  </si>
  <si>
    <t>Прокладка к ПТО Q080 30610306</t>
  </si>
  <si>
    <t>Прокладка к ПТО R55 17551019</t>
  </si>
  <si>
    <t>Прокладка к ПТО U 17965042</t>
  </si>
  <si>
    <t>Прокладка ПАГФ-Г-П1-00-18х6х2</t>
  </si>
  <si>
    <t>Пруж. стабил. PS/79 2бар 0101210</t>
  </si>
  <si>
    <t>Пружина пилота КН РДБК1-200</t>
  </si>
  <si>
    <t>Регулятор ASV-PV Ду20 Danfoss 003L7602</t>
  </si>
  <si>
    <t>Регулятор FL-BP-SRS/150X300 PS/79-2 0,75</t>
  </si>
  <si>
    <t>Регулятор РДУК-2В-50/35 Ду50 Ру12</t>
  </si>
  <si>
    <t>Регулятор управл. РДУК КВ</t>
  </si>
  <si>
    <t>Регулятор управл. РДУК КН</t>
  </si>
  <si>
    <t>Регулятор управления тип КВ РДБК1-200</t>
  </si>
  <si>
    <t>Ручка к крану WK-2a (Ду65,Ду100) EFAR</t>
  </si>
  <si>
    <t>Свеча зажигания СП-06ВП</t>
  </si>
  <si>
    <t>Седло D70 с клапаном регулятора РДУК2</t>
  </si>
  <si>
    <t>Сетка фильтра F3240 Ду250 Tecofi</t>
  </si>
  <si>
    <t>Спецболт М16х1,5 РДБК ПФ Газсервис</t>
  </si>
  <si>
    <t>Трубопровод В 60810670 для ГТД-6РМ</t>
  </si>
  <si>
    <t>Уплотнение GC16 EPDM РоСВЕП-СЕРВИС</t>
  </si>
  <si>
    <t>Уплотнение GX12 EPDM РоСВЕП-СЕРВИС</t>
  </si>
  <si>
    <t>Уплотнение GX18 EPDM РоСВЕП-СЕРВИС</t>
  </si>
  <si>
    <t>Уплотнение GX42 EPDM РоСВЕП-СЕРВИС</t>
  </si>
  <si>
    <t>Уплотнение GX7 EPDM РоСВЕП-СЕРВИС</t>
  </si>
  <si>
    <t>Уплотнение M10-M EPDMC 3233015093</t>
  </si>
  <si>
    <t>Уплотнение M15-М EPDMC 3233018043</t>
  </si>
  <si>
    <t>Уплотнение M3 EPDCT 3226309543</t>
  </si>
  <si>
    <t>Уплотнение M6 EPDMC 3233014043</t>
  </si>
  <si>
    <t>Уплотнение M6-М NBRP 3233066346</t>
  </si>
  <si>
    <t>Уплотнение М6-М EPDMC 3233014193</t>
  </si>
  <si>
    <t>Фильтр Y222P Ду20 Ру25 Danfoss 149B5160</t>
  </si>
  <si>
    <t>Э/п Н-Г-03 У2 Б099.102-03М</t>
  </si>
  <si>
    <t>Электрод UNI CAST VS ф4х450 НАКС FSH WG</t>
  </si>
  <si>
    <t>Электрод ЦТ-15 ф5 Э-08Х19Н10Г2Б Г9466-75</t>
  </si>
  <si>
    <t>Электрод Э-07Х20Н9-ОЗЛ-8-ф3-ВД-Е</t>
  </si>
  <si>
    <t>Электрозаслонка ЭЛЗ-7</t>
  </si>
  <si>
    <t>Электропр. возд. зас. Polar Bear DAF2.06</t>
  </si>
  <si>
    <t>паспорт б/н</t>
  </si>
  <si>
    <t>GSM-K антенна</t>
  </si>
  <si>
    <t>R-3051-CD-1-M-2-2-A-1-A-IM-C2</t>
  </si>
  <si>
    <t>R-3051-CD-2-M-2-2-A-1-A-IM-C2</t>
  </si>
  <si>
    <t>R-3051-TA-2-M-2B-2-1-A-B4-IM-C2</t>
  </si>
  <si>
    <t>SA-94/2-3-ПРН-100/080-Ф/Ф-Т-3-1-2/2-1</t>
  </si>
  <si>
    <t>SA-94/2М-1-ПРН-040/040-Ф/Ф-Т-3-1-1/1-1</t>
  </si>
  <si>
    <t>SA-94/3-C-3-ЕК-150/150-Ф/Ф-Т-2-1-1/н-1-4</t>
  </si>
  <si>
    <t>АКБ Acer LC.BTP00.129 LI-ION 3cell 3S1P</t>
  </si>
  <si>
    <t>Амперметр AMT 1/A1 без шкалы, кл.1,5</t>
  </si>
  <si>
    <t>Амперметр Э 365-2 200-1000А т/т200/5А</t>
  </si>
  <si>
    <t>Амперметр ЭА 0701 100А кл.1,5</t>
  </si>
  <si>
    <t>Блок аккумулятора для АНКАТ-7664М .</t>
  </si>
  <si>
    <t>Блок горелочный защитный Б97 к АСУ-ПТВМ</t>
  </si>
  <si>
    <t>Блок датчика CH4 сигнализ. СТГ-1</t>
  </si>
  <si>
    <t>Блок питания БП-5B</t>
  </si>
  <si>
    <t>Блок питания Метран-604</t>
  </si>
  <si>
    <t>Вентилятор ВР-300-45-4 1,5/930 Л</t>
  </si>
  <si>
    <t>Вентилятор ВР-300-45-4 7,5/1430 Л</t>
  </si>
  <si>
    <t>Вентилятор ВЦ 14-46-4 11/1500 Л</t>
  </si>
  <si>
    <t>Вентилятор ВЦ 14-46-4 11/1500 Пр</t>
  </si>
  <si>
    <t>Вольтметр цифровой В7-53/1</t>
  </si>
  <si>
    <t>Вставка белая Makel Mimoza 10321</t>
  </si>
  <si>
    <t>Выкл. ВА57-39-340010-20УХЛЗ 400А/1000А</t>
  </si>
  <si>
    <t>Газосигнализатор ИГС-98 Клевер-СВ 0-30%</t>
  </si>
  <si>
    <t>Головка инфракрасная считывающая TK117</t>
  </si>
  <si>
    <t>ДА8008-Вуф исп2 -1+1,5кгс/см2-1,5</t>
  </si>
  <si>
    <t>Датчик CH4 сигнализ. СТГ-1</t>
  </si>
  <si>
    <t>Датчик DMD331-730-E-6001-1-8-100-J00100R</t>
  </si>
  <si>
    <t>Датчик IR Quattro COM1 Steinel</t>
  </si>
  <si>
    <t>Датчик Polytron SE Ex HT M DD Drager</t>
  </si>
  <si>
    <t>Датчик Polytron SE Ex PR M1 DD Drager</t>
  </si>
  <si>
    <t>Датчик избыт давления ИД16</t>
  </si>
  <si>
    <t>Датчик кислорода O2 для Анкат-7664М</t>
  </si>
  <si>
    <t>Датчик кислорода O2 для СГГ-4М-4</t>
  </si>
  <si>
    <t>Датчик СН4 для сигнализатора ФСТ-03</t>
  </si>
  <si>
    <t>Датчик СО для сигнализатора ФСТ-03</t>
  </si>
  <si>
    <t>Диффузор плазмот.S25/S45 Trafimet PE0106</t>
  </si>
  <si>
    <t>ДМ2010ф исп.V 0+2,5кгс/см2-1,5-М20</t>
  </si>
  <si>
    <t>Дроссель УБИ-20</t>
  </si>
  <si>
    <t>Заглушка Legrand 33314</t>
  </si>
  <si>
    <t>Заглушка Ду50 Firat 7016004050</t>
  </si>
  <si>
    <t>Заглушка НПВХ б/н Ду110</t>
  </si>
  <si>
    <t>Измеритель влажности ВИМС-2.22</t>
  </si>
  <si>
    <t>Кабель Array Electronic SR-CP</t>
  </si>
  <si>
    <t>Канат 2,2мм С-Н1770 Г3066-80</t>
  </si>
  <si>
    <t>Катод (электрод) S25/S45 Trafimet PR0110</t>
  </si>
  <si>
    <t>Катушка LX1-FG220 M5 220В 50Гц SE</t>
  </si>
  <si>
    <t>Колесо неповоротное большегрузное FCp200</t>
  </si>
  <si>
    <t>Колесо поворотное большегрузное SCp200</t>
  </si>
  <si>
    <t>Коммутатор-адаптер КАД RS485/RS422-RS232</t>
  </si>
  <si>
    <t>Компл. монтажных частей К1</t>
  </si>
  <si>
    <t>Комплект деталей КГА-8С для модернизации</t>
  </si>
  <si>
    <t>Комплект панелей цок. DP-P-PDN-80/80-200</t>
  </si>
  <si>
    <t>Комплект с-в упр. Бриз к ДЕ, ДКРВ</t>
  </si>
  <si>
    <t>Комплект термопр. КТСП-Н 5.1.02.02.3.3.2</t>
  </si>
  <si>
    <t>Комплект термопр. КТСП-Н 5.1.04.02.3.3.2</t>
  </si>
  <si>
    <t>Комплект усилен. 8шт/уп Conteg RMF-BRACE</t>
  </si>
  <si>
    <t>Комплектация базовая MTS 310 HA 5 мест</t>
  </si>
  <si>
    <t>Конвертор Advantech ADAM-4520I</t>
  </si>
  <si>
    <t>Контроллер Теплотекс РСЕ-400</t>
  </si>
  <si>
    <t>Короб TA-GN 80х60 DKC 01785</t>
  </si>
  <si>
    <t>Короб перф. T1-F 80х100 DKC 00170</t>
  </si>
  <si>
    <t>Короб секция угловая СУО 100х100 оцинк.</t>
  </si>
  <si>
    <t>Короб СУВВ50 100х50 угловой вверх ТЗМА</t>
  </si>
  <si>
    <t>Короб СУВН50 100х50 угловой вниз ТЗМА</t>
  </si>
  <si>
    <t>Корпус к контроллеру РСЕ-400</t>
  </si>
  <si>
    <t>Корпус к контроллеру РСЕ-430</t>
  </si>
  <si>
    <t>Корпус кнопки АВВ кр 1SFA 616-101 R2101</t>
  </si>
  <si>
    <t>Корректор SEVC-D(Corus) 0,9-10бар</t>
  </si>
  <si>
    <t>Корректор объёма газа ЕК-270</t>
  </si>
  <si>
    <t>Кр.-бал. эл.подв.1т пр.L5,2 H6 13Т10316К</t>
  </si>
  <si>
    <t>Кронштейн к потолку PNK-100 100х50 L600</t>
  </si>
  <si>
    <t>Кронштейн настенный КНПЛУ-600</t>
  </si>
  <si>
    <t>Крышка к углу плоск.КУПТп-100 100х50х250</t>
  </si>
  <si>
    <t>Крышка НЛК-100-Т УТ1,5</t>
  </si>
  <si>
    <t>Крышка НЛК-100-У45В УТ1,5 45гр</t>
  </si>
  <si>
    <t>Крышка НЛК-100-У45Н УТ1,5 45гр</t>
  </si>
  <si>
    <t>Крышка НЛК-100-У90 УТ1,5 90гр</t>
  </si>
  <si>
    <t>Крышка НЛК-100-У90В УТ1,5 90гр</t>
  </si>
  <si>
    <t>Крышка НЛК-100-У90Н УТ1,5 90гр</t>
  </si>
  <si>
    <t>Крышка НЛК-200-Т УТ1,5</t>
  </si>
  <si>
    <t>Крышка НЛК-200-У90 УТ1,5 90гр</t>
  </si>
  <si>
    <t>Крышка НЛК-200-У90Н УТ1,5 90гр</t>
  </si>
  <si>
    <t>Крышка НЛК-50-Т- УТ1,5</t>
  </si>
  <si>
    <t>Крышка НЛК-50-У90 УТ1,5 90гр</t>
  </si>
  <si>
    <t>Крышка НЛК-50-У90В УТ1,5 90гр</t>
  </si>
  <si>
    <t>Крышка НЛК-50-У90Н УТ1,5 90гр</t>
  </si>
  <si>
    <t>Крышка прямая НЛК-200-П2,5 УТ1,5 2,5м</t>
  </si>
  <si>
    <t>Крышка прямая НЛК-50-П2,0 УТ1,5 2,0м</t>
  </si>
  <si>
    <t>Крышка секции НЛП 100х60-У90 УТ1,5</t>
  </si>
  <si>
    <t>Крышка торцевая UT16 D-UT 16 3047206</t>
  </si>
  <si>
    <t>ЛВМ МЭ-Аудит 35кВ НПП Марс-Энерго</t>
  </si>
  <si>
    <t>Лента-ПП 15,0х0,8ммх1400м Дувн200</t>
  </si>
  <si>
    <t>Лоток НЛП 100х60 У90В УТ1,5</t>
  </si>
  <si>
    <t>Лоток НЛП 200х60-П2,5 УТ1,5 2,5м</t>
  </si>
  <si>
    <t>Лоток НЛП 50х50 Т УТ 1,5</t>
  </si>
  <si>
    <t>Лоток НЛП 50х50 У90 УТ 1,5</t>
  </si>
  <si>
    <t>Лоток НЛП 50х50 У90В УТ1,5</t>
  </si>
  <si>
    <t>Лоток проволочный ПЛМУ-600.60 600х60</t>
  </si>
  <si>
    <t>Люк сантех. настен. 200х300 металл маг</t>
  </si>
  <si>
    <t>Люк сантех. настен. 400х400 металл маг</t>
  </si>
  <si>
    <t>Люк сантех. настен. 450х1000 металл маг</t>
  </si>
  <si>
    <t>Люк сантех. настен. 600х1000 металл маг</t>
  </si>
  <si>
    <t>М-100-ДД-1430-01-МП1-t1-050-16кПа-25-42</t>
  </si>
  <si>
    <t>М-100-ДД-1430-02-МП5.ICP-t1-050-16кПа-25</t>
  </si>
  <si>
    <t>М-100-ДД-1430-02-МП5.ICP-t1-050-4кПа-25</t>
  </si>
  <si>
    <t>М-43Ф-ДД-3494-01-02-УХЛ3.1-050-16кПа-42</t>
  </si>
  <si>
    <t>М-43Ф-ДД-3494-01-02-УХЛ3.1-050-4кПа-42-С</t>
  </si>
  <si>
    <t>М-45-ДВ-5320-02-УХЛ3.1-050-0,315кПа-42-C</t>
  </si>
  <si>
    <t>М-45-ДИ-5130-t5-0,5-2,5кПа 4-20МПа</t>
  </si>
  <si>
    <t>Манжета переходная резиновая 50х32</t>
  </si>
  <si>
    <t>Мембрана / Varem 200л</t>
  </si>
  <si>
    <t>Металлополим. Ал. 1,0кг с жёлт. акт. Leo</t>
  </si>
  <si>
    <t>Микрометр МК200-1 (175-200) 0,01 кл.1</t>
  </si>
  <si>
    <t>Модуль AC/DC светод.</t>
  </si>
  <si>
    <t>Модуль SRAM-памяти X-608 512Кб с пит.</t>
  </si>
  <si>
    <t>Модуль T3702</t>
  </si>
  <si>
    <t>Модуль вентиляторный Conteg DP-VEN-04</t>
  </si>
  <si>
    <t>Модуль индикации ИК-5 с 5-ти кн. клав.</t>
  </si>
  <si>
    <t>Модуль клеммн.соед. TCC9G</t>
  </si>
  <si>
    <t>Модуль клеммн.соед. TCC9PD</t>
  </si>
  <si>
    <t>Модуль преобразователя МИП-01</t>
  </si>
  <si>
    <t>Модуль процессорный 17188ХА с памятью</t>
  </si>
  <si>
    <t>Модуль расширения Hiquel SLS-500-8DI-C</t>
  </si>
  <si>
    <t>Модуль расширения Hiquel SLS-500-8DI-D</t>
  </si>
  <si>
    <t>Модуль расширения Hiquel SLS-500-AI-С</t>
  </si>
  <si>
    <t>Модуль расширения Hiquel SLS-500-DR-C</t>
  </si>
  <si>
    <t>Модуль расширения Hiquel SLS-500-Pt1000C</t>
  </si>
  <si>
    <t>Модуль расширения SLS-500-AI-D</t>
  </si>
  <si>
    <t>Модуль роз. RJ45 TX Keystone T568&amp;B бел</t>
  </si>
  <si>
    <t>Модуль сигнальный 99.01.9.024.99 Finder</t>
  </si>
  <si>
    <t>Модуль Т3702</t>
  </si>
  <si>
    <t>Насадка плазмотрона S25K Trafimet PC0117</t>
  </si>
  <si>
    <t>Оповещатель Молния-12С 12В</t>
  </si>
  <si>
    <t>Опора НПВХ 50 Firat 7016005050</t>
  </si>
  <si>
    <t>Отвод Т-образ. ТТп-100 100х50х400</t>
  </si>
  <si>
    <t>Панель осветительная Conteg DP-OJ-01</t>
  </si>
  <si>
    <t>Перегородка разделит. Panduit T70DW2 2м</t>
  </si>
  <si>
    <t>Переходник 3/4х1/2 Gav 1217/7</t>
  </si>
  <si>
    <t>Переходник Wika 910.14 муф.-цап. 9090274</t>
  </si>
  <si>
    <t>Переходник ф8 Gav 113С/2</t>
  </si>
  <si>
    <t>Переходник Э-21-1</t>
  </si>
  <si>
    <t>Пластина для Speedglas 3M 42 70 00</t>
  </si>
  <si>
    <t>Плата контроллера MCF.D48/24V</t>
  </si>
  <si>
    <t>Плата контроллера MCFA 16/0/4</t>
  </si>
  <si>
    <t>Побудитель Schego optimal для КГА-8С</t>
  </si>
  <si>
    <t>Преобразователь ГР 1.0 ИНКР 301.004.000</t>
  </si>
  <si>
    <t>Преобразователь Е858/7-М1 45-55Гц 4-20мА</t>
  </si>
  <si>
    <t>Преобразователь ИП-205</t>
  </si>
  <si>
    <t>Преобразователь ИП-205/ХА (0-600)С</t>
  </si>
  <si>
    <t>Преобразователь МИП-01</t>
  </si>
  <si>
    <t>Преобразователь МИП-03</t>
  </si>
  <si>
    <t>Преобразователь ТХА 002-07.11</t>
  </si>
  <si>
    <t>Преобразователь частотный</t>
  </si>
  <si>
    <t>Профиль монтаж.(швеллер) 60х30 К235У2</t>
  </si>
  <si>
    <t>Пряжка бондажная тип 1С</t>
  </si>
  <si>
    <t>Психрометр аспирационный М-34М</t>
  </si>
  <si>
    <t>Пульт упр. счётчиком Макло Тэсс</t>
  </si>
  <si>
    <t>Рама с фильтром Conteg DP-VER-06F</t>
  </si>
  <si>
    <t>Рамка на 4 модуля Legrand Mosaic 78814</t>
  </si>
  <si>
    <t>Редуктор пропановый БПО-5-2</t>
  </si>
  <si>
    <t>Редуктор пропановый БПО-5-КР1</t>
  </si>
  <si>
    <t>Резак пропановый РС-3П ФАКЕЛ</t>
  </si>
  <si>
    <t>Рейка нивелирная VEGA TS5M 5м</t>
  </si>
  <si>
    <t>Реле KP75 Danfoss 060L113766</t>
  </si>
  <si>
    <t>РЕЛЕ РВП-21-003 110В</t>
  </si>
  <si>
    <t>РЕЛЕ РВП-21-003 24В</t>
  </si>
  <si>
    <t>Реостат баластный РБ-302 ИУ2</t>
  </si>
  <si>
    <t>Розетка RJ-45, 5 категории внешняя</t>
  </si>
  <si>
    <t>Ротаметр UP2-02 для КГА-8С</t>
  </si>
  <si>
    <t>Сальник съёмный AKM 32 IP65 Hensel</t>
  </si>
  <si>
    <t>Сблокировка механич.</t>
  </si>
  <si>
    <t>Секции Т-образная НЛП 100x60-Т УТ 1,5</t>
  </si>
  <si>
    <t>Секции Т-образная НЛП 200x60-Т УТ 1,5</t>
  </si>
  <si>
    <t>Секция НЛП 100х60 У90 УТ1,5</t>
  </si>
  <si>
    <t>Секция НЛП 100х60-У45В УТ1,5</t>
  </si>
  <si>
    <t>Секция НЛП 100х60-У90Н УТ1,5</t>
  </si>
  <si>
    <t>Секция НЛП 200x60-У90 УТ1,5</t>
  </si>
  <si>
    <t>Секция НЛП 50x50-У90 УТ1,5</t>
  </si>
  <si>
    <t>Сенсор CO-1,0 для СКВА</t>
  </si>
  <si>
    <t>Сенсор ECO-Sure (2e) сигнализ. RGO</t>
  </si>
  <si>
    <t>Сенсор Oxygen O2-A3 Alphasense</t>
  </si>
  <si>
    <t>Сенсор ГС-1EX</t>
  </si>
  <si>
    <t>Сенсор О2 mini OX3</t>
  </si>
  <si>
    <t>Сенсор термокаталитический ДТК-1-3,0</t>
  </si>
  <si>
    <t>Сенсор ТКС-1 сигнализ. Сигма-1</t>
  </si>
  <si>
    <t>Система вентильная СВН-М 01</t>
  </si>
  <si>
    <t>Скоба для DLP 35x80 Legrand 10681</t>
  </si>
  <si>
    <t>Скоба СН-600 настенного крепления Остек</t>
  </si>
  <si>
    <t>Соединитель лотка двойной СПЛД20 Остек</t>
  </si>
  <si>
    <t>Соединитель НЛП 100x60-СП УТ1,5</t>
  </si>
  <si>
    <t>Соединитель НЛП 200х60-СП УТ1,5</t>
  </si>
  <si>
    <t>Соединитель СЛ-60 УТ1,5</t>
  </si>
  <si>
    <t>Сопло ф0,65мм BlueWeld 802092</t>
  </si>
  <si>
    <t>Станция управления СГУ2-ТХ-11 11кВт</t>
  </si>
  <si>
    <t>Стекло 5М4 1,3х2,0 м</t>
  </si>
  <si>
    <t>Стойка кабельная К1150ц УТ1,5 L=400мм</t>
  </si>
  <si>
    <t>Стойка кабельная К1152цУТ1,5 L800</t>
  </si>
  <si>
    <t>Стойка кабельная К1153цУТ1,5 L1200</t>
  </si>
  <si>
    <t>Суппорт Mosaiс Legrand 80252</t>
  </si>
  <si>
    <t>Суппорт на 1 мод. Singo Rehau 261489-100</t>
  </si>
  <si>
    <t>Счётчик Протон СЭ-05-100-1 57,7-100В 5А</t>
  </si>
  <si>
    <t>Счётчик ПСЧ-3А.05.2 220/380 5(50)</t>
  </si>
  <si>
    <t>Счётчик СВ-40+штуцеры</t>
  </si>
  <si>
    <t>Счётчик СГ-16М-1600-40-С-4 Ду200</t>
  </si>
  <si>
    <t>Счётчик СЭТ3А-01-24-02/1П</t>
  </si>
  <si>
    <t>Счётчик СЭТ3А-02-04/1П 220/380В 5-50А</t>
  </si>
  <si>
    <t>Терминал МТ-232-03</t>
  </si>
  <si>
    <t>Термометр бимет L=200 T(-30+50) +ГЗ</t>
  </si>
  <si>
    <t>Термометр БТ-51.211-(-40+60)-100-1,6</t>
  </si>
  <si>
    <t>Термометр ТБ-1(-30+60)С-1,5-160-10-М20</t>
  </si>
  <si>
    <t>Термометр ТН-1-1</t>
  </si>
  <si>
    <t>Термометр ТПТ-1-4-Pt1000-В.2.Н-100</t>
  </si>
  <si>
    <t>Термометр ТПТ-1-4-Pt1000-В.2.Н-200</t>
  </si>
  <si>
    <t>Термостат сдвоенный TSCC</t>
  </si>
  <si>
    <t>ТИРИСТОР ТС 142-80-6</t>
  </si>
  <si>
    <t>Трап круглый, с гориз. выпуском 50мм</t>
  </si>
  <si>
    <t>Трап полипр. 150х150 ТП-104.110-150VSDs</t>
  </si>
  <si>
    <t>Тройник RT 60х40х2000</t>
  </si>
  <si>
    <t>Труба НПВХ Ду110х3,2 L1000 б/н 50112</t>
  </si>
  <si>
    <t>Труба НПВХ Ду110х3,2 L2000 б/н 50060</t>
  </si>
  <si>
    <t>Труба НПВХ Ду50х3,2 L1000</t>
  </si>
  <si>
    <t>Труба НПВХ Ду50х3,2 L2000 б/н 50035</t>
  </si>
  <si>
    <t>Труба ПВХ 113/126 гофр./геотек. 23747020</t>
  </si>
  <si>
    <t>ТСП Метран-226-14-80-В-4-1-Н10(-50+200)С</t>
  </si>
  <si>
    <t>Угол внутр MI 40х16</t>
  </si>
  <si>
    <t>Угол горизонт. CPO90 100мм DKC 36002</t>
  </si>
  <si>
    <t>Угол плоский для ML 40х16 Экопласт</t>
  </si>
  <si>
    <t>Угол плоский для RL 60х40х2000 Экопласт</t>
  </si>
  <si>
    <t>Удлинит. кол. 750 (ср. часть) 22998088</t>
  </si>
  <si>
    <t>УЗО F204 AC-125/0,3 4п 125A 300мА ABB</t>
  </si>
  <si>
    <t>Умощнитель сигналов Текон ТСВ08R</t>
  </si>
  <si>
    <t>Умощнитель ТСВ08R</t>
  </si>
  <si>
    <t>Устройство защиты SPAC 810-Д 22 2332</t>
  </si>
  <si>
    <t>Устройство УСПД Telcon А9T</t>
  </si>
  <si>
    <t>Фанера ФК вл.1525х1525х6 сорт 4/4 хвоя</t>
  </si>
  <si>
    <t>Фильтр CO для ячейки CO МФС-8 КГА-8С</t>
  </si>
  <si>
    <t>Фильтр топл. CONSOL НФ-02-Т 2101-1117010</t>
  </si>
  <si>
    <t>Фторопласт</t>
  </si>
  <si>
    <t>Швеллер К240</t>
  </si>
  <si>
    <t>Шкала сменная SCL 1/400 400А ABB</t>
  </si>
  <si>
    <t>Шкаф кабин 1800/1000/400</t>
  </si>
  <si>
    <t>Шкаф напол. Conteg RMF-42-80/80 RAL7040</t>
  </si>
  <si>
    <t>Э/п ARA659 24B Esbe 1252 02 00</t>
  </si>
  <si>
    <t>Э/п Sauter AVM 234R</t>
  </si>
  <si>
    <t>Электрозапальник ЭЗ-01</t>
  </si>
  <si>
    <t>Электромагнит ЭМ 33-61111 380В</t>
  </si>
  <si>
    <t>Электромагнит ЭМ33-51111-00 У3 380В</t>
  </si>
  <si>
    <t>Элемент RA-2920 Danfoss 013G2920</t>
  </si>
  <si>
    <t>Ящик РУСМ5125-3274 УХЛ2 18А</t>
  </si>
  <si>
    <t>Баббит оловянный Б-83 Г1320-74 чушка</t>
  </si>
  <si>
    <t>Колено К-100 ГОСТ 6942.7-80</t>
  </si>
  <si>
    <t>Колено К-50 ГОСТ 6942.7-80</t>
  </si>
  <si>
    <t>Лента ПВХ липкая 450х0,4мм Каустик</t>
  </si>
  <si>
    <t>Муфта 100 Г8954-75</t>
  </si>
  <si>
    <t>Муфта Axiflex TypeII Sil AHL14016300C</t>
  </si>
  <si>
    <t>Муфта Axiflex TypeII Sil AHL14016300R</t>
  </si>
  <si>
    <t>Муфта Axiflex TypeII Sil AHL14016400C</t>
  </si>
  <si>
    <t>Муфта Axiflex TypeII Sil AHL14016400R</t>
  </si>
  <si>
    <t>Опора Ду273 ТС 660.00.00-10</t>
  </si>
  <si>
    <t>Опора Ду426 ТС 660.00.00-13</t>
  </si>
  <si>
    <t>Опора Ду820 ТС-669.00.00-25</t>
  </si>
  <si>
    <t>Отвод 133х5 в защитном покрытии</t>
  </si>
  <si>
    <t>Отвод 135гр Д-50 чуг.</t>
  </si>
  <si>
    <t>Отвод 15-630х12-09Г2С-2,5 ТС-583.000-010</t>
  </si>
  <si>
    <t>Отвод 45-159х4,5-20 Г17375 оцинк.</t>
  </si>
  <si>
    <t>Отвод 60-630х12-09Г2С-2,5 ТС-583-196</t>
  </si>
  <si>
    <t>Отвод 90-1-33,7х2,3-20 Г17375</t>
  </si>
  <si>
    <t>Отвод 90-1-42,4х2,6-20 Г17375 оцинк.</t>
  </si>
  <si>
    <t>Отвод 90-1020х8 по типу ОСТ 34.10.752-97</t>
  </si>
  <si>
    <t>Отвод 90-133х4-20 Г17375 оцинк.</t>
  </si>
  <si>
    <t>Отвод 90-1420х18-09Г2С-2,5 ТС-583-255</t>
  </si>
  <si>
    <t>Отвод 90-159х4,5-20 Г17375 оцинк.</t>
  </si>
  <si>
    <t>Отвод 90-168х6-20 Г17375 оцинк.</t>
  </si>
  <si>
    <t>Отвод 90-630х12-09Г2С-2,5 ТС-583-243</t>
  </si>
  <si>
    <t>Отвод 90-920х8 по типу ОСТ 34.10.752-97</t>
  </si>
  <si>
    <t>Отвод 90гр Д-100 чуг.</t>
  </si>
  <si>
    <t>Отвод 90гр Д-50 чуг.</t>
  </si>
  <si>
    <t>Отвод крутоизогнут. оцинк. 45</t>
  </si>
  <si>
    <t>Отвод крутоизогнутый шовный 25 оцинк.</t>
  </si>
  <si>
    <t>Отливка D100 L400 из СЧ</t>
  </si>
  <si>
    <t>Отливка D50 из СЧ</t>
  </si>
  <si>
    <t>Отливка D60 L400 из СЧ</t>
  </si>
  <si>
    <t>Отливка D80 из СЧ</t>
  </si>
  <si>
    <t>Патрубок переходной чуг.100х150</t>
  </si>
  <si>
    <t>Патрубок ПФГ 100 ЦПП НПП Валок-чугун</t>
  </si>
  <si>
    <t>Патрубок ПФГ-100 Г5525-88</t>
  </si>
  <si>
    <t>Переход К-1-33,7х3,2-21,3х3,2-20 оцинк.</t>
  </si>
  <si>
    <t>Переход К-426х10-273х8-20 Г17378</t>
  </si>
  <si>
    <t>Переход оцин. 50х25</t>
  </si>
  <si>
    <t>Переход оцин.80х40</t>
  </si>
  <si>
    <t>ПЕРЕХОД ОЦИНК.76Х3.5-45Х2.5</t>
  </si>
  <si>
    <t>Переход штампованный концентрический 65х</t>
  </si>
  <si>
    <t>Проволока 6,0-Х20Н80 Г12766.1-90</t>
  </si>
  <si>
    <t>Проволока 8,0-Х20Н80</t>
  </si>
  <si>
    <t>Пруток бронз. ДКРПП 70 НД БрАЖ9-4</t>
  </si>
  <si>
    <t>Пруток ГКРХХ 35 НД М1 Г1535-91</t>
  </si>
  <si>
    <t>Соединитель 25 STC-Faro 5680</t>
  </si>
  <si>
    <t>Тройник 108х6-89х6-20 оцин. Г17376</t>
  </si>
  <si>
    <t>Тройник 273х10-219х8-20 Г17376</t>
  </si>
  <si>
    <t>Тройник 325х10-219х8-20 Г17376</t>
  </si>
  <si>
    <t>Тройник 325х10-57х3-4,0 ТС-588-036</t>
  </si>
  <si>
    <t>Тройник 530х11-219х7-2,5 ТС-588-079</t>
  </si>
  <si>
    <t>Тройник ч. п. Ду32х25 Г8949-75</t>
  </si>
  <si>
    <t>Тройник чуг. косой, угол 45 гр.100х100</t>
  </si>
  <si>
    <t>Тройник чугунный 50х50х45 Г6942.12-80</t>
  </si>
  <si>
    <t>Труба 133х4,5 В 20 Г10704-91 10705-80</t>
  </si>
  <si>
    <t>Труба 325х8 В 20 Г10704-91 10705-80</t>
  </si>
  <si>
    <t>Труба 32х1,5 ТП-А Ст1пс ТУ 14-105-737-04</t>
  </si>
  <si>
    <t>Труба 57х4 08Х18Н10Т Г9941-81</t>
  </si>
  <si>
    <t>Труба ДКРНП 12х1,5х1000 М3 Г617-90</t>
  </si>
  <si>
    <t>Труба оц ф 20х3.2.</t>
  </si>
  <si>
    <t>Труба оц ф 25х3.2.</t>
  </si>
  <si>
    <t>Труба ТЧК-100-2000 Г6942-98</t>
  </si>
  <si>
    <t>Труба ТЧК-100-2100 Г6942-98</t>
  </si>
  <si>
    <t>Труба ТЧК-50-2000 Г6942-98</t>
  </si>
  <si>
    <t>Труба цин. ВЧШГ-Т-100х6000 ЦПП</t>
  </si>
  <si>
    <t>ФИТИНГИ РАЗНЫЕ (С_ЦС_10/01)</t>
  </si>
  <si>
    <t>Фланец 1-15-25 ст. 20 оцинк. Г12820-80</t>
  </si>
  <si>
    <t>Фланец 1-500-25 ст. 20 Г12820-80</t>
  </si>
  <si>
    <t>Фланец 1-600-25 ст. 20 Г12820-80</t>
  </si>
  <si>
    <t>ФЛАНЦЫ РУ 25 ДУ 400мм</t>
  </si>
  <si>
    <t>Шпилька М36-6gх260.97.8.8 ст.35</t>
  </si>
  <si>
    <t>Секция 89х4-1,0-РГК прямая</t>
  </si>
  <si>
    <t>Установка Hydro Tech DS 5E25N1</t>
  </si>
  <si>
    <t>Бумага Крафт ф.106 пл.78</t>
  </si>
  <si>
    <t>Труба ДКРНП 10х1,0х2000 М3 Г617</t>
  </si>
  <si>
    <t>Болт М12-6gх50.58 (S18) ГОСТ 7798-70</t>
  </si>
  <si>
    <t>Винт М8х16х1.25 DIN7991</t>
  </si>
  <si>
    <t>Винт М8х20х1.25 DIN7985</t>
  </si>
  <si>
    <t>Гайка анод. М20-6H.5 (S30) Г5915-70</t>
  </si>
  <si>
    <t>Люк под плитку Оптима-Атлант 900х640мм</t>
  </si>
  <si>
    <t>Лента CRS SMD5050 60 диодов/м тёплый бел</t>
  </si>
  <si>
    <t>Редуктор пропановый балонный БПО 5-3</t>
  </si>
  <si>
    <t>Метчик М20х2,5 2621-1736.1 Г3266-81</t>
  </si>
  <si>
    <t>Патрон монтажный Д-3 100шт/уп</t>
  </si>
  <si>
    <t>Лежак Big Red Torin TR6452</t>
  </si>
  <si>
    <t>Набивка ПГН 3100 12х12 НПП ПромГрафит</t>
  </si>
  <si>
    <t>Набивка ПГН 3100 18х18 НПП ПромГрафит</t>
  </si>
  <si>
    <t>Датчик давл.Метран-100-Ех-ДА-1051-01-МП1</t>
  </si>
  <si>
    <t>Датчик метана СН4 для Анкат-7664М</t>
  </si>
  <si>
    <t>Датчик-реле давл. ДЕМ 102-1-01-2</t>
  </si>
  <si>
    <t>Датчик-реле давл. ДЕМ 102-1-02-1 с к/</t>
  </si>
  <si>
    <t>Датчик-реле давл. ДЕМ 102-1-02-2 с К1</t>
  </si>
  <si>
    <t>Датчик-реле давл. ДЕМ 102-2-02-1 с К1</t>
  </si>
  <si>
    <t>М-150CD2(0-1000кгс/м2)2211L3AM5IMD9C1K04</t>
  </si>
  <si>
    <t>М-150CD3(0-100кПа)2211L3AM5IMS5K04 к/б</t>
  </si>
  <si>
    <t>М-150CG1(0-6,3кПа)2211L3AM5IMD55B1K03</t>
  </si>
  <si>
    <t>М-150TA2(0-0,6МПа)2G21AM5IMS5K04 к/б</t>
  </si>
  <si>
    <t>М-55-ДИ-515-МП-t1-050-1,0МПа-42-М20-С</t>
  </si>
  <si>
    <t>М-ДИ-518-МП-t1-050-0,25МПа-42-М20-С</t>
  </si>
  <si>
    <t>Система вентильная СВ-02 д/датч. Метран</t>
  </si>
  <si>
    <t>Отвод 45-630х12-09Г2С-2,5 ТС-583-150</t>
  </si>
  <si>
    <t>Отвод 90-1-21,3х2,5-20 Г17375</t>
  </si>
  <si>
    <t>Отвод 90-273х7-20 Г17375</t>
  </si>
  <si>
    <t>Отвод 90-57х4-20 Г17375 оцинк.</t>
  </si>
  <si>
    <t>Отвод 90-89х5-20 Г17375 оцинк.</t>
  </si>
  <si>
    <t>Отвод крутоизогнутый шовный 32 оцинк.</t>
  </si>
  <si>
    <t>Переход К-159х4,5-133х4-20 оцинк. Г17378</t>
  </si>
  <si>
    <t>Переход К-168х8-114х6-20 оцинк. Г17378</t>
  </si>
  <si>
    <t>Переход К-273х7-219х6-20 оцинк. Г17378</t>
  </si>
  <si>
    <t>Переход К-89х6-76х5-20 оцинк. Г17378</t>
  </si>
  <si>
    <t>Установка Cillit-kalkex-M 40л BWT</t>
  </si>
  <si>
    <t>Кран Ду150 Ру16 КШГ 71.112.150</t>
  </si>
  <si>
    <t>Клапан ПСК-50С/50 Газстрой</t>
  </si>
  <si>
    <t>Клапан MSV-F2 Ду20 Ру25 003Z1093</t>
  </si>
  <si>
    <t>Клапан MSV-F2 Ду25 Ру16 003Z1087</t>
  </si>
  <si>
    <t>Извещатель С2000-СМК Эстет</t>
  </si>
  <si>
    <t>SA-94/3-C-3-ЕК-200/200-Ф/Ф-Т-2-1-1/н-1-5</t>
  </si>
  <si>
    <t>Блок автоматики подпиточной установки</t>
  </si>
  <si>
    <t>Блок клапанный Метран А31-02-М20-Т</t>
  </si>
  <si>
    <t>Блок клапанный Метран Е22-5-3-02-М20-К4</t>
  </si>
  <si>
    <t>ВИС.Т ТС-200-2-2-1-0 Ду150/150</t>
  </si>
  <si>
    <t>ВИС.Т ТС-200-3-3-2-1 Ду100/100</t>
  </si>
  <si>
    <t>Контроллер подпитки FC1500</t>
  </si>
  <si>
    <t>Регистр м/к технолог. РМТ 69 ЕХ</t>
  </si>
  <si>
    <t>Счётчик СО-505 220В 10(40)А кл.2,0</t>
  </si>
  <si>
    <t>Счётчик СЭТ4-1 220/380В 5(60)А</t>
  </si>
  <si>
    <t>Подшипник 3536 ГОСТ 5721-75</t>
  </si>
  <si>
    <t>Подшипник 407 ГОСТ 8338-75</t>
  </si>
  <si>
    <t>Подшипник 46314Л ГОСТ 831-75</t>
  </si>
  <si>
    <t>Подшипник 6-318 ГОСТ 8228-75</t>
  </si>
  <si>
    <t>Насос DDA 7,5-16 AR-PP/E/C-F-31 U2U2FG</t>
  </si>
  <si>
    <t>Насос L-100S/2 ф200 22/3000</t>
  </si>
  <si>
    <t>Лампа накаливания 24Вт с байонетным цоко</t>
  </si>
  <si>
    <t>Панель лицевая Mini-Com CFPFS2AW</t>
  </si>
  <si>
    <t>Шина ШММ 50х5 Г434-78</t>
  </si>
  <si>
    <t>Шина ШММ 8х80 Г434-78</t>
  </si>
  <si>
    <t>Кран 57х4-1-ППУ-ПЭ KMC H1500 МЗИ</t>
  </si>
  <si>
    <t>Кран 57х5-1-ППУ-ПЭ 69.102.050 H1900 МЗИ</t>
  </si>
  <si>
    <t>Уплотнение М.1301.10С07.040.0103.0801</t>
  </si>
  <si>
    <t>Уплотнение М.1302.25.073.0103.1101.5</t>
  </si>
  <si>
    <t>Уплотнение М.1303.048.0103.0810</t>
  </si>
  <si>
    <t>Кран B-TR-P25-032-C-W4-B-L</t>
  </si>
  <si>
    <t>Кран KMC B1-1-R-250-PN25-000-G-E-2</t>
  </si>
  <si>
    <t>Задвижка 30с64нж (в-фл) ф. 200 Ру25 ТУ2</t>
  </si>
  <si>
    <t>Клапан 19с73нж Ду200 Ру40</t>
  </si>
  <si>
    <t>Клапан МБСУ-125ВГ Ду125 Ру16</t>
  </si>
  <si>
    <t>Клапан МБСУ-200ВГ Ду200 Ру16</t>
  </si>
  <si>
    <t>Насос К-200-150-250-С-УХЛ4 30/1450 КНЗ</t>
  </si>
  <si>
    <t>Задвижка 30с564нж Ду500 Ру25 А МЗТА</t>
  </si>
  <si>
    <t>Задвижка 30ч6бр Ду300 Ру10</t>
  </si>
  <si>
    <t>Клапан 17нж17нж СППК4Р-50-16, наст.4,5</t>
  </si>
  <si>
    <t>Клапан 17с6нж СППК4Р-50-16, наст.4,0</t>
  </si>
  <si>
    <t>Клапан 19с47нж Ду400 Pу40 п/приварку</t>
  </si>
  <si>
    <t>Клапан 6с-13-4 Ду200 Ру100</t>
  </si>
  <si>
    <t>Клапан тип 402 Ду200 Pу10 149B2229</t>
  </si>
  <si>
    <t>Круг 200 Г2590-88 / Ст3пс Г380-2005</t>
  </si>
  <si>
    <t>Круг 240 Г2590-88 / Ст3пс Г380-2005</t>
  </si>
  <si>
    <t>Круг 270-В-II-НД Г2590-2006/Ст3сп Г380</t>
  </si>
  <si>
    <t>Лента Н-0,7х20 ГОСТ 3560-73</t>
  </si>
  <si>
    <t>Труба 25х2 ТП-А Ст1пс ТУ 14-105-737-04</t>
  </si>
  <si>
    <t>Труба 28х3 В 20 Г8734-75 Г8733-74</t>
  </si>
  <si>
    <t>Труба 35х1,5 В 20 Г10704-91 10705-80</t>
  </si>
  <si>
    <t>Труба эл.св Ст20 ГОСТ 10704-91 Д45х2</t>
  </si>
  <si>
    <t>Кран Vexve 103 250 Ду250 Ру16</t>
  </si>
  <si>
    <t>Кран Vexve 103 250 Ду250 Ру25 э/пAuma</t>
  </si>
  <si>
    <t>Кран Vexve 103 250/E Ду250 Ру16 SA07.6</t>
  </si>
  <si>
    <t>Кран Vexve 104 350 Ду350 Ру25 м/ред</t>
  </si>
  <si>
    <t>Кран Vexve 104 601 Ду600 Ру16 м/ред</t>
  </si>
  <si>
    <t>Кран Vexve 104 601 Ду600 Ру25 м/ред</t>
  </si>
  <si>
    <t>Кран Ду300 Ру25 КШТ 61.103.300</t>
  </si>
  <si>
    <t>Кран КШ.Ц.Ф.250/180.025.Н/П.02</t>
  </si>
  <si>
    <t>Кран КШ.Ц.Ф.250/200.016.Н/П.02</t>
  </si>
  <si>
    <t>Кран с/с BVDH-w/w-G-600 Ду600 Ру40 э/п</t>
  </si>
  <si>
    <t>2009г</t>
  </si>
  <si>
    <t>Сертификат № РОСС RU.АГ93.Н06019 (бланк № 0935940), от 27.12.2012</t>
  </si>
  <si>
    <t>Этикетка приемки ИБЯЛ.413226.075 СБ</t>
  </si>
  <si>
    <t>Документы отсутствуют</t>
  </si>
  <si>
    <t>3.NV.1202-2002</t>
  </si>
  <si>
    <t>удовлетворительное</t>
  </si>
  <si>
    <t>КАСАФЛЕКС 66/125 1,6МПа 160С СОДК</t>
  </si>
  <si>
    <t>Новое, с длительным сроком хранения.</t>
  </si>
  <si>
    <t>КАСАФЛЕКС 86/145 1,6МПа 160С СОДК</t>
  </si>
  <si>
    <t>КАСАФЛЕКС 55/110 1,6МПа 160С СОДК</t>
  </si>
  <si>
    <t>Касафлекс 86/145 1,6МПа 135 ОДК</t>
  </si>
  <si>
    <t>Касафлекс 55/110 1,6МПа 135 ОДК</t>
  </si>
  <si>
    <t>Ду20 Ру16</t>
  </si>
  <si>
    <t>Паспорт б/н</t>
  </si>
  <si>
    <t>Сер.кач.№170373/14 от 31.10.2013</t>
  </si>
  <si>
    <t>Паспорт ТКСИ.421262.012 ПС</t>
  </si>
  <si>
    <t>Сер.5111/1 от 02.11.2010</t>
  </si>
  <si>
    <t>Сер.кач.№118-10918</t>
  </si>
  <si>
    <t>Сер.к.5205 от30.03.2015</t>
  </si>
  <si>
    <t>Сер.2045от07.06.2014</t>
  </si>
  <si>
    <t>Паспорт №002706</t>
  </si>
  <si>
    <t>Паспорт №003183</t>
  </si>
  <si>
    <t>Паспорт № 003102</t>
  </si>
  <si>
    <t>Паспорт Са2.769.008ПС</t>
  </si>
  <si>
    <t>Паспорт  МКПД.426430.001 ТУ</t>
  </si>
  <si>
    <t>Паспорт 226.01.00.000 РЭ</t>
  </si>
  <si>
    <t>Паспорт ЕМТК 01.0000.00 ПС</t>
  </si>
  <si>
    <t xml:space="preserve">Паспорт б/н </t>
  </si>
  <si>
    <t xml:space="preserve">Паспорт V3143B </t>
  </si>
  <si>
    <t>Паспорт 4И2.820.008 РЭ</t>
  </si>
  <si>
    <t>Паспорт СПГК.5001.000</t>
  </si>
  <si>
    <t>Паспорт БП08-000-00ПС</t>
  </si>
  <si>
    <t>Паспорт  РГБ-00.00.000ПС</t>
  </si>
  <si>
    <t>Паспорт ГРПИ.405132.001ПС</t>
  </si>
  <si>
    <t>Паспорт РГАЖ 2.821.002 ПС</t>
  </si>
  <si>
    <t>Паспорт СКЮИ.433236.003 ПС</t>
  </si>
  <si>
    <t>Рук. по эксплуат. РОСС RU.ОС03.Н00869</t>
  </si>
  <si>
    <t>Паспорт ПС 4218-00540055471-20008</t>
  </si>
  <si>
    <t>Паспорт  б/н</t>
  </si>
  <si>
    <t>Паспорт ТНИВ.405511.002 ПС</t>
  </si>
  <si>
    <t>Паспорт 44-22-804ПС</t>
  </si>
  <si>
    <t>Реле промежуточное РПЛ-122 220В Этал</t>
  </si>
  <si>
    <t>Контактор электромагнитный МК6-30Т УХЛ3 250-400А Uн=380В 50Гц Uкат=220В 50Гц ТУ 16-88 ИГФР.644513.004 ТУ</t>
  </si>
  <si>
    <t>Датчик избыточного давления Метран-100-Ех-ДИ-1141-02-МП1-t1-050-10кПа-42-М20-С</t>
  </si>
  <si>
    <t>Датчик избыточного давления Метран-100-Ex-ДИ-1161-11-МП1-t10-015-1,0МПа-42-М20-С</t>
  </si>
  <si>
    <t>Датчик разности давлений Метран-150CD1(0-630кгс/м2)-2-2-1-1-L3-A-M5-IM-D9-C1-K04</t>
  </si>
  <si>
    <t>Датчик избыточного давления Метран-100-ДИ-1151-11-МП1-t1-050-1МПа-42-М20-С-ГП</t>
  </si>
  <si>
    <t>Комплект фланцев воротниковых для заслонки Ду150 Ру16</t>
  </si>
  <si>
    <t>Кран Ballomax Ду150 Ру25 КШТ.69.102.150 H1470 Broen</t>
  </si>
  <si>
    <t>Блок питания импульсный Omron S8VS-03024 100-240В 24В 1,3А</t>
  </si>
  <si>
    <t>Датчик избыточного давления Sensors DMP 343 100-XXXX-1-100-100-00R (-0,315 +0,315)кПа 4-20мА</t>
  </si>
  <si>
    <t>Тягонапоромер мембранный показывающий ТНМП-52-М2-40кПа-1,5-У3 ТУ 25-7305.014-90 Саранский приборостроительный завод</t>
  </si>
  <si>
    <t>Механизм исполнительный электрический однооборотный рычажный МЭО-100/10-0,25</t>
  </si>
  <si>
    <t>Датчик избыточного давления Sensors DMP 343 100-XXXX-1-100-100-00R (-40+40мбар)</t>
  </si>
  <si>
    <t>Датчик избыточного давления Sensors DMP 343 100-XXXX-1-8-100-100-00R (-3,15+3,15мбар) 4-20мА</t>
  </si>
  <si>
    <t>Блок управления ГБЖ-08-04.03.000-01 для горелки ГБГ-0,6(0,8)</t>
  </si>
  <si>
    <t>Датчик избыточного давления Sensors DMP 343 100-0100-1-8-100-100-00R</t>
  </si>
  <si>
    <t>Регулятор микропроцессорный для измерения и регулирования технологических параметров Минитерм 400.00 ТУ 4218-091-00225549-97 МЗТА</t>
  </si>
  <si>
    <t>Напоромер мембранный показывающий НМП-52-М2-6кПа-2,5-У3 ТУ 25-7305.014-90 Саранский приборостроительный завод</t>
  </si>
  <si>
    <t>Напоромер мембранный показывающий НМП-52-М2-6кПа-(2,5-1,5-2,5)-У3 ТУ 25-7305.014-90 Саранский приборостроительный завод</t>
  </si>
  <si>
    <t>Манометр ДМ8008-Вуф исп2 (0+1,0кгс/см2)-1,5-М20х1,5 ПО Физтех</t>
  </si>
  <si>
    <t>Реле промежуточное РПЛ-131 220В Этал</t>
  </si>
  <si>
    <t>Реле промежуточное РЭП37-221-УХЛ4 220В</t>
  </si>
  <si>
    <t>Контактор Telemecanique TeSys D LC1-D150M7 150А категория AC-3 220В Schneider Electric</t>
  </si>
  <si>
    <t>Контактор электромагнитный КТИ-5265 265А 400В ИЭК KKT50-265-400-10</t>
  </si>
  <si>
    <t>Реле промежуточное ПЭ 37-42 220В ГОСТ 11152-82</t>
  </si>
  <si>
    <t>Кран шаровой фланцевый Vexve 154 251 Ду250 Ру25 с редуктором</t>
  </si>
  <si>
    <t>Задвижка 30с964нж Ду150 Ру25 фланцевая класс В под электропривод</t>
  </si>
  <si>
    <t>(0092) Кусковская ул., д. 18Г</t>
  </si>
  <si>
    <t>(0707) 6-й Загородный пр. вл.9</t>
  </si>
  <si>
    <t>Сер.кач-ва № 017318 от 30.11.2015</t>
  </si>
  <si>
    <t xml:space="preserve"> 10-40кПа</t>
  </si>
  <si>
    <t xml:space="preserve"> 90-720*11</t>
  </si>
  <si>
    <t>168*8-86*6</t>
  </si>
  <si>
    <t>080/н-Ф/Ф-Т-2-1-2/н-1-5</t>
  </si>
  <si>
    <t>ДГКИ-02-02.2</t>
  </si>
  <si>
    <t>60-133*9</t>
  </si>
  <si>
    <t>219*6-133*4</t>
  </si>
  <si>
    <t>90-530*12</t>
  </si>
  <si>
    <t>38*2-25*2</t>
  </si>
  <si>
    <t>45-325*10</t>
  </si>
  <si>
    <t>90-38*2,5</t>
  </si>
  <si>
    <t>45-76*3,5</t>
  </si>
  <si>
    <t>38*2-32*2</t>
  </si>
  <si>
    <t>76*3,5-57*3</t>
  </si>
  <si>
    <t>33,7*3,2-21,3*3,2</t>
  </si>
  <si>
    <t>90-42,4*2,6</t>
  </si>
  <si>
    <t>90-48,3*2,6</t>
  </si>
  <si>
    <t>90-1-20</t>
  </si>
  <si>
    <t>Ду32</t>
  </si>
  <si>
    <t>90-1-32</t>
  </si>
  <si>
    <t>А.05.02.ст3кп.09</t>
  </si>
  <si>
    <t xml:space="preserve"> А.10.02.ст3кп.09</t>
  </si>
  <si>
    <t>А.10.02.ст3кп</t>
  </si>
  <si>
    <t>V277-015 Ду15 Pу16</t>
  </si>
  <si>
    <t xml:space="preserve"> L600</t>
  </si>
  <si>
    <t>2000х100х15</t>
  </si>
  <si>
    <t xml:space="preserve"> 3000х50х15мм </t>
  </si>
  <si>
    <t>2000х50х15мм</t>
  </si>
  <si>
    <t>998-20-0 Ду20 Ру373 ЧЗЭМ</t>
  </si>
  <si>
    <t>ПФ-34-00-141х87х2</t>
  </si>
  <si>
    <t>ЦЧ-4-ф3 НАКС</t>
  </si>
  <si>
    <t>10-100/5</t>
  </si>
  <si>
    <t>120-124/158-164</t>
  </si>
  <si>
    <t xml:space="preserve"> У996</t>
  </si>
  <si>
    <t>Руководство по эксплуаатации АW.410.19.ХХН 03.2013</t>
  </si>
  <si>
    <t>AD5101А</t>
  </si>
  <si>
    <t>VA2305МA-1-1-25-D-1-1-100</t>
  </si>
  <si>
    <t>37-х0-00УХЛ3-200-2</t>
  </si>
  <si>
    <t>5-2-1,0-1,0</t>
  </si>
  <si>
    <t>120-124/170-176</t>
  </si>
  <si>
    <t>110-1002-1-3-100-500-1</t>
  </si>
  <si>
    <t>МВ-5000</t>
  </si>
  <si>
    <t>4 мод. 200x123x112</t>
  </si>
  <si>
    <t>10-3,75-1 У3 В/В предохр.</t>
  </si>
  <si>
    <t>102-2-02-2</t>
  </si>
  <si>
    <t>104-108/182-188</t>
  </si>
  <si>
    <t xml:space="preserve"> для флага тройной</t>
  </si>
  <si>
    <t>13П-У2-0,5-0,1МПа-01-М20-П</t>
  </si>
  <si>
    <t>104-108/158-164</t>
  </si>
  <si>
    <t>RM 69 ASF 20л</t>
  </si>
  <si>
    <t xml:space="preserve"> 331 110-1602-1-3-100-100-1</t>
  </si>
  <si>
    <t>для газосв</t>
  </si>
  <si>
    <t>96-100/170-176</t>
  </si>
  <si>
    <t>3шт SE 31563</t>
  </si>
  <si>
    <t>Нора-М 117</t>
  </si>
  <si>
    <t>Spray 400мл</t>
  </si>
  <si>
    <t>Т-0,66-М УЗ 200/5</t>
  </si>
  <si>
    <t xml:space="preserve"> Euroset 5020</t>
  </si>
  <si>
    <t>Т-70 T70CAW2 2м</t>
  </si>
  <si>
    <t>БПО-5-4</t>
  </si>
  <si>
    <t xml:space="preserve"> 25мм с дюбелем</t>
  </si>
  <si>
    <t xml:space="preserve">М8 32-36 </t>
  </si>
  <si>
    <t>РДД-2-X 2R BD</t>
  </si>
  <si>
    <t>натриевое жидкое Г13078-81</t>
  </si>
  <si>
    <t>универсальный</t>
  </si>
  <si>
    <t>СИЗ-2 100шт/уп</t>
  </si>
  <si>
    <t>V07 GE</t>
  </si>
  <si>
    <t xml:space="preserve"> 315А</t>
  </si>
  <si>
    <t>Г-3</t>
  </si>
  <si>
    <t>6/9мм</t>
  </si>
  <si>
    <t>10х50 500шт/уп</t>
  </si>
  <si>
    <t xml:space="preserve">1,60МПа-4-20мА-D34  </t>
  </si>
  <si>
    <t>6х8 (25м)</t>
  </si>
  <si>
    <t>34*4</t>
  </si>
  <si>
    <t>57*6</t>
  </si>
  <si>
    <t>45*3,5</t>
  </si>
  <si>
    <t>89*4 оцинк.</t>
  </si>
  <si>
    <t>57*3,5 оцинк.</t>
  </si>
  <si>
    <t>159*4,5 оцинк.</t>
  </si>
  <si>
    <t>219*8 оцинк.</t>
  </si>
  <si>
    <t>133*4-57*3 оцинк.</t>
  </si>
  <si>
    <t>273*7 оцинк.</t>
  </si>
  <si>
    <t>45*3 оцинк.</t>
  </si>
  <si>
    <t>НЗ-1,6-G1/2-М20</t>
  </si>
  <si>
    <t>168,3*7,1 оцинк.</t>
  </si>
  <si>
    <t>114,3*6,3-76,1*5 оцинк.</t>
  </si>
  <si>
    <t>114,3*6,3-88,9*5,6 оцинк</t>
  </si>
  <si>
    <t>168,3*7,1-114,3*6,3</t>
  </si>
  <si>
    <t>18.02.09</t>
  </si>
  <si>
    <t>М24 DIN 9021</t>
  </si>
  <si>
    <t>C.10.02.Ст3кп</t>
  </si>
  <si>
    <t>133*8-114*6 оцинк.</t>
  </si>
  <si>
    <t>А.6.01.10кп.016</t>
  </si>
  <si>
    <t>С.12.02.Ст3кп</t>
  </si>
  <si>
    <t>М8х20мм</t>
  </si>
  <si>
    <t>М6х10 с п/кр. гол.</t>
  </si>
  <si>
    <t xml:space="preserve"> А.8.01.10кп.016</t>
  </si>
  <si>
    <t>C.6.02.Ст3кп</t>
  </si>
  <si>
    <t xml:space="preserve"> А.16.01.10кп.016</t>
  </si>
  <si>
    <t>12 65Г Г6402-70 DIN127</t>
  </si>
  <si>
    <t xml:space="preserve"> 3,5х55 для ГКЛ, кр. рез.</t>
  </si>
  <si>
    <t>Ду025</t>
  </si>
  <si>
    <t>Ду015 оцинк</t>
  </si>
  <si>
    <t>Ду25</t>
  </si>
  <si>
    <t>159*6 оцинк</t>
  </si>
  <si>
    <t>М36-6gх200.58 (S55)</t>
  </si>
  <si>
    <t>50*50*4</t>
  </si>
  <si>
    <t>Ду025 оцинк</t>
  </si>
  <si>
    <t>DIN6798A</t>
  </si>
  <si>
    <t>Паспорт №АВГ.411152.021 ПС от 11.10.2017</t>
  </si>
  <si>
    <t>Бак Intervarem LS-20 Varem S2020361</t>
  </si>
  <si>
    <t>Кран МА39010 Ду300 Ру16</t>
  </si>
  <si>
    <t>Кран МА39010-02 Ду200 Ру16 КОФ</t>
  </si>
  <si>
    <t xml:space="preserve">Удовлетворительное </t>
  </si>
  <si>
    <t>3.NV.1205-2002</t>
  </si>
  <si>
    <t>данных нет</t>
  </si>
  <si>
    <t>Отвод 90-920х14-09Г2С-2,5 ТС-583-250</t>
  </si>
  <si>
    <t>Хорошее</t>
  </si>
  <si>
    <t>Труба 18х2 В 20 Г8734-75 Г8733-74</t>
  </si>
  <si>
    <t>Кран 10с9пм Ду40 Ру16 КОФ</t>
  </si>
  <si>
    <t>Б/У Блок управления с автоматом 63А</t>
  </si>
  <si>
    <t>Б/У Вставка плавкая ПВД-20 УзН</t>
  </si>
  <si>
    <t>Б/У Выкл. авт. А63-М-У3 1п 4А</t>
  </si>
  <si>
    <t>Б/У Выкл. авт. АЕ2026-10Н-00У3 10А</t>
  </si>
  <si>
    <t>Б/У Выкл. авт. АЕ2026-10Н-00У3 16А</t>
  </si>
  <si>
    <t>Б/У Выкл. авт. АЕ2036-40рУ3 6А</t>
  </si>
  <si>
    <t>Б/У Выкл. авт. АЕ2046М-10р-00У3 16А</t>
  </si>
  <si>
    <t>Б/У Выкл. авт. АЕ204М-0-00У3 5А</t>
  </si>
  <si>
    <t>Б/У Кабель MПС Lazer</t>
  </si>
  <si>
    <t>Б/У Кабель Siemens AT-VYY 2G62,5/125</t>
  </si>
  <si>
    <t>Б/У Кабель ДРЖ5139004-10 NA178</t>
  </si>
  <si>
    <t>Б/У Кабель коаксиальный</t>
  </si>
  <si>
    <t>Б/У Клещи токоизмер. Ц-90</t>
  </si>
  <si>
    <t>Б/У Конвертер I-7188E5-485 ICP DAS</t>
  </si>
  <si>
    <t>Б/У Преобразователь NPort 6110 Moxa</t>
  </si>
  <si>
    <t>Б/У Реле РПУ-2 У3 220В</t>
  </si>
  <si>
    <t>Б/У Штанга ШЗП-10Н РУ</t>
  </si>
  <si>
    <t>Б/У Э/нагреватель ТЭН</t>
  </si>
  <si>
    <t>Блок питания AccordTec ББП-20</t>
  </si>
  <si>
    <t>Диод SD1500C20L DO-200AC</t>
  </si>
  <si>
    <t>Кабель АВВГнг-LS 5х10(ож)-1</t>
  </si>
  <si>
    <t>Кабель оптический ЭКБ-ДПС-П-08Г</t>
  </si>
  <si>
    <t>Клещи Ц 4502</t>
  </si>
  <si>
    <t>Модуль ABB 23BA30 GSNE001500R0001</t>
  </si>
  <si>
    <t>Переключатель ПК16-54И0101 УХЛ2</t>
  </si>
  <si>
    <t>Переключатель ПК16-54И0103 УХЛ2</t>
  </si>
  <si>
    <t>Переключатель ПК16-54И3014</t>
  </si>
  <si>
    <t>Переключатель ПК16-54И3090 УХЛ2</t>
  </si>
  <si>
    <t>Подшипник 6324 FAG</t>
  </si>
  <si>
    <t>Подшипник 6324CM NSK</t>
  </si>
  <si>
    <t>Подшипник 7322В</t>
  </si>
  <si>
    <t>Предохранитель резьбовой ПРС-25У3-П 20А</t>
  </si>
  <si>
    <t>Резистор С5-35В 50Вт 1кОм Б%</t>
  </si>
  <si>
    <t>ТКП-160Сг-М2-УХЛ2-(0+120)С-2,5-4-160-А</t>
  </si>
  <si>
    <t>Труба гофрир. ПВХ 40мм DKC 90940</t>
  </si>
  <si>
    <t>Труба гофрир. ПВХ 50мм зонд ИЭК</t>
  </si>
  <si>
    <t>Труба гофрир. ПНД 32мм DKC 70732</t>
  </si>
  <si>
    <t>Трубка ПВХ ТВ-40 6мм Г19034-82</t>
  </si>
  <si>
    <t>(0607)РТС "Теплый стан" Мосэнерго, Новоясеневский прспект д.8, к.3</t>
  </si>
  <si>
    <t>(0606) Ц/Склал Верхние Поля д.25 на ответственном хранении</t>
  </si>
  <si>
    <t>ЩСУ-3 220х800х600</t>
  </si>
  <si>
    <t>ШПЧ 3-9</t>
  </si>
  <si>
    <t>ШПЧ 3-11</t>
  </si>
  <si>
    <t>В наличии</t>
  </si>
  <si>
    <t>(2007) Мироновская ул., д. 9А</t>
  </si>
  <si>
    <t>2010</t>
  </si>
  <si>
    <t>(0906) Дубравная ул.  д.55</t>
  </si>
  <si>
    <t>(0903) Проезд № 607 д. 22</t>
  </si>
  <si>
    <t>Описание</t>
  </si>
  <si>
    <t>Руководство по эксплуатации</t>
  </si>
  <si>
    <t>(0202) Смольная ул., д. 32 Б</t>
  </si>
  <si>
    <t>(0911) Строительный пр.,д.14 к.1</t>
  </si>
  <si>
    <t>(0206) Смольная ул., д. 32 Б</t>
  </si>
  <si>
    <t>(0507) Сурский пр-д, д. 5, стр. 1</t>
  </si>
  <si>
    <t>(0508) Перерва ул., д. 23, стр. 3</t>
  </si>
  <si>
    <t>(0501) Перерва ул.,23, стр. 2</t>
  </si>
  <si>
    <t>(0506) Оранжерейная ул., д.8а, стр.1</t>
  </si>
  <si>
    <t>(0502) Волгоградский пр., д. 121/35</t>
  </si>
  <si>
    <t>(0513) Перерва ул., д.20</t>
  </si>
  <si>
    <t>3.NV.1201-2002</t>
  </si>
  <si>
    <t>(0102) Новослободкая ул., д.50/52, стр.18</t>
  </si>
  <si>
    <t>(0102) Новослободская ул., д.50/52, стр.18</t>
  </si>
  <si>
    <t>(0108) Новослободская ул., д.50/52, стр.18</t>
  </si>
  <si>
    <t>(0119) Переулок Васнецова, д. 11А</t>
  </si>
  <si>
    <t>(0101)1-й Сетунский пр-д, д. 10Г</t>
  </si>
  <si>
    <t>(0107)1-й Сетунский пр-д, д. 10Г</t>
  </si>
  <si>
    <t>(0104) ул. М. Дмитровка, д. 25</t>
  </si>
  <si>
    <t>(0101) 1-й Сетунский пр-д, д. 10Г</t>
  </si>
  <si>
    <t>(0105) Б. Предтеченский пер., д. 27/29 стр. 2а</t>
  </si>
  <si>
    <t>(0098) Верхние поля, 25</t>
  </si>
  <si>
    <t>(0073) Беломорская, 38А, стр.10</t>
  </si>
  <si>
    <t>(0303) Молодцова ул., д.9</t>
  </si>
  <si>
    <t>(1650) Профсоюзная ул., д. 93, к. 3а</t>
  </si>
  <si>
    <t>(1642) 2-й Сетуньский пр-д, 5а</t>
  </si>
  <si>
    <t>(0459) Измайловская пл.,вл.6,стр.2</t>
  </si>
  <si>
    <t>(0405) Пушкарев пер.,6</t>
  </si>
  <si>
    <t>(0449) Косинская ул,3В</t>
  </si>
  <si>
    <t>(0707) 6-й Загородный пр-д, вл.9</t>
  </si>
  <si>
    <t>(0094) Кусковская 18Г</t>
  </si>
  <si>
    <t>Л.</t>
  </si>
  <si>
    <t>(2009) 3-я Кабельная, д. 2Б</t>
  </si>
  <si>
    <t>(0327) Добролюбова ул., д. 18А</t>
  </si>
  <si>
    <t>(0307) Проспект Мира д.177А, стр1</t>
  </si>
  <si>
    <t>(0807) Боровское шоссе, д.10</t>
  </si>
  <si>
    <t>(0801) Очаковское ш., д. 22</t>
  </si>
  <si>
    <t>(0817) Боровское шоссе, д.10</t>
  </si>
  <si>
    <t>(0817) Боровское ш., д.10</t>
  </si>
  <si>
    <t>(1690) Боровский пр-д, д.13а</t>
  </si>
  <si>
    <t>(1646) 1-й Ботанический пр-д, д. 1г</t>
  </si>
  <si>
    <t>Набивка АГИ 10х10 Г5152-84</t>
  </si>
  <si>
    <t>(0074) Беломорская, 38А, стр.10</t>
  </si>
  <si>
    <t>Бак Flexcon М 1600 Ру6 Flamco 22109</t>
  </si>
  <si>
    <t>Переход К-159х4,5-89х3,5-20 оцин. Г17378</t>
  </si>
  <si>
    <t>Труба 133х5 В 20 Г8732 Г8731 оцинк.</t>
  </si>
  <si>
    <t>Труба 219х6 В 20 Г8732 Г8731 оцинк.</t>
  </si>
  <si>
    <t>Труба 76х4 В 20 Г8732 Г8731 оцинк.</t>
  </si>
  <si>
    <t>Технический паспорт №6990/01/2016, Сертификат №C_IT.АГ93.В.09629 срок действия по 28.12.2017, Декларация соответствия ТС№RU Д-NL.ФЛ16.В.53258</t>
  </si>
  <si>
    <t>Электрод МНЧ-2-ф3 НАКС</t>
  </si>
  <si>
    <t>(0307) Проспект Мира, д. 177а, стр. 1</t>
  </si>
  <si>
    <t>Подушка опорная теплотрасс ОПТ-4</t>
  </si>
  <si>
    <t>Подушка опорная теплотрасс ОПТ-6</t>
  </si>
  <si>
    <t>Блок упр. Landis LFL1.322</t>
  </si>
  <si>
    <t>(0507) Ставропольская ул. 27Б</t>
  </si>
  <si>
    <t>(0807) Боровское ш., д.10</t>
  </si>
  <si>
    <t>(2006) Авиамоторная ул., д. 9</t>
  </si>
  <si>
    <t>Паспорт кач. б/н от 16.04.18</t>
  </si>
  <si>
    <t>Паспорт 523.СЭТ3.000</t>
  </si>
  <si>
    <t>Паспорт ГС.001.088</t>
  </si>
  <si>
    <t>Паспорт 6НВ.534.276 ПС</t>
  </si>
  <si>
    <t>Паспорт НИЮУ.640100.003ПС</t>
  </si>
  <si>
    <t>Руководство по эксплуаатации</t>
  </si>
  <si>
    <t>Паспорт БП07-000-00ПС 09.08.2011г</t>
  </si>
  <si>
    <t>Паспорт АГБР.406239.001-06 ЭТ 11.2011</t>
  </si>
  <si>
    <t>Паспорт 03.05.2012г</t>
  </si>
  <si>
    <t>Паспорт 26.06.2012</t>
  </si>
  <si>
    <t>Паспорт 25.04.2013</t>
  </si>
  <si>
    <t>Паспорт МДВГ.406233.033 ПС 26.02.2007г</t>
  </si>
  <si>
    <t>Паспорт ТКСИ.421262.012 ПС 07,2011.</t>
  </si>
  <si>
    <t>Паспорт ялиб.406111.002 пс</t>
  </si>
  <si>
    <t>Руководство по эксплуатации ТКСИ.421111.027 РЭ  18.07.2010</t>
  </si>
  <si>
    <t>Паспорт ОМС.100000.022-01ПС  08.2015</t>
  </si>
  <si>
    <t>Руководство пользователя 27.07.2010г</t>
  </si>
  <si>
    <t>Паспорт АW,408.18 ХХР 19.11.2009</t>
  </si>
  <si>
    <t>Руководство по эксплуатации ТЖИУ.406423.001РЭ 17.09.2008</t>
  </si>
  <si>
    <t>Сертификат качества 1355*2014/0685</t>
  </si>
  <si>
    <t>Сертификат качества 0017*2015/0268</t>
  </si>
  <si>
    <t>Карта качества В 60860140</t>
  </si>
  <si>
    <t>Паспорт 40-07-5020 ПС</t>
  </si>
  <si>
    <t>Паспорт, руководство по эксплуатации</t>
  </si>
  <si>
    <t>Паспорт, методика поверки</t>
  </si>
  <si>
    <t>Паспорт 31682, 31702, 31681, 31687, 31686, 31696, 31706, 31691, 28863, 31695, 31689, 31697, 31683, 31701, 31680, 31685,31693</t>
  </si>
  <si>
    <t>Паспорт 28872, 28871, 28873, 28870</t>
  </si>
  <si>
    <t>Паспорт 28686, 29651</t>
  </si>
  <si>
    <t>Паспорт 28854</t>
  </si>
  <si>
    <t>Паспорт 28896, 28825</t>
  </si>
  <si>
    <t>Паспорт без №</t>
  </si>
  <si>
    <t>Паспорт ТУ4218-001-84114708-08</t>
  </si>
  <si>
    <t>Паспорт ТУ 4218-034-03989780-03Сертификат соответствия №РОСС RU.МГ05.В0008  срок действия 22.09.2010-22.09.2013 бланк №0439562, паспорт ТУ 4218-001-84114708-08</t>
  </si>
  <si>
    <t>Паспорт б/н 07.06.2014/серт.РОСС RU,АГ93.Н03486</t>
  </si>
  <si>
    <t>Сопроводительная карта ,66119494</t>
  </si>
  <si>
    <t>Карта качества, В60715710</t>
  </si>
  <si>
    <t>Паспорт б/н 07.06.2014 серт. отсутствует</t>
  </si>
  <si>
    <t>Паспорт1ГГ.671224.006ПС 17.07.2006г</t>
  </si>
  <si>
    <t>Паспорт ЮТЛИ.402239.002 ПС 26.07.2012</t>
  </si>
  <si>
    <t>Карта качества В61100031 от 14.01.2011г</t>
  </si>
  <si>
    <t>Карта качества, Н50705440</t>
  </si>
  <si>
    <t>Карта качества,820707220</t>
  </si>
  <si>
    <t>Старый образец</t>
  </si>
  <si>
    <t xml:space="preserve"> Цена
 имущества 
 (за единицу),
 руб.
</t>
  </si>
  <si>
    <t>Первоначальная стоимость имущества,
руб.</t>
  </si>
  <si>
    <t>Регулятор GDJ 50R 04-0 R2 (Pb</t>
  </si>
  <si>
    <t>Опора скольз. Ду57 ТС 730.00.00.00 СБ</t>
  </si>
  <si>
    <t>Балансовая  (остаточная) стоимость имущества,
руб.</t>
  </si>
  <si>
    <t xml:space="preserve">Технические паспорта 34 ШТ  </t>
  </si>
  <si>
    <t>Маска сварщика НН7-С-4 Премьер-2</t>
  </si>
  <si>
    <t>(0073) Беломорская ул. д.38А стр.10</t>
  </si>
  <si>
    <t>Номер лота</t>
  </si>
  <si>
    <t>Наименование лота</t>
  </si>
  <si>
    <t>Арматура трубопроводная. Клапаны.</t>
  </si>
  <si>
    <t>Высоковольтная аппаратура</t>
  </si>
  <si>
    <t>Газовое оборудование</t>
  </si>
  <si>
    <t>Детали трубопровода</t>
  </si>
  <si>
    <t>Детали трубопровода.Фитинги.</t>
  </si>
  <si>
    <t>Детали трубопровода.Фланцы.</t>
  </si>
  <si>
    <t>Запчасти к арматуре трубопроводной</t>
  </si>
  <si>
    <t>Запчасти к КИПиА</t>
  </si>
  <si>
    <t>Запчасти к расширительным бакам</t>
  </si>
  <si>
    <t>Запчасти к теплообменным аппаратам</t>
  </si>
  <si>
    <t>Запчасти к транспорту</t>
  </si>
  <si>
    <t>Запчасти к турбинам паровым</t>
  </si>
  <si>
    <t>Инструмент</t>
  </si>
  <si>
    <t xml:space="preserve">Кабельно-проводниковая продукция </t>
  </si>
  <si>
    <t>КИПиА</t>
  </si>
  <si>
    <t>КИПиА, метрология, мановакуумметр</t>
  </si>
  <si>
    <t>Компенсатор</t>
  </si>
  <si>
    <t>Компенсатор для ГТД</t>
  </si>
  <si>
    <t>Котельно-вспомогательное оборудование</t>
  </si>
  <si>
    <t>Масла и смазки</t>
  </si>
  <si>
    <t>Материалы электромонтажные</t>
  </si>
  <si>
    <t>Металлоизделия</t>
  </si>
  <si>
    <t>Насосы</t>
  </si>
  <si>
    <t xml:space="preserve">Низковольтная аппаратура </t>
  </si>
  <si>
    <t>Оборудование вентиляционное</t>
  </si>
  <si>
    <t>Оборудование видеонаблюдения</t>
  </si>
  <si>
    <t>Оборудование лабораторное, измерительные инструменты</t>
  </si>
  <si>
    <t>Оборудование подъемно-транспортное и запчасти к оборудованию</t>
  </si>
  <si>
    <t>Оборудование сантехническое</t>
  </si>
  <si>
    <t>Оборудование светотехническое</t>
  </si>
  <si>
    <t>Опоры трубопроводов</t>
  </si>
  <si>
    <t>Подшипники     </t>
  </si>
  <si>
    <t>Пожарное оборудование</t>
  </si>
  <si>
    <t>ППУ</t>
  </si>
  <si>
    <t>Регуляторы</t>
  </si>
  <si>
    <t>Резинотехнические и электроизоляционные материалы</t>
  </si>
  <si>
    <t>Средства индивидуальной защиты</t>
  </si>
  <si>
    <t>Строительные материалы</t>
  </si>
  <si>
    <t xml:space="preserve">Считыватель карт </t>
  </si>
  <si>
    <t>Трубы пластмассовые</t>
  </si>
  <si>
    <t>Упаковочные материалы</t>
  </si>
  <si>
    <t>Уплотнение</t>
  </si>
  <si>
    <t>Устройство связи</t>
  </si>
  <si>
    <t>Фильтрующие материалы</t>
  </si>
  <si>
    <t>Хозтовары, инвентарь</t>
  </si>
  <si>
    <t xml:space="preserve">Шаровые краны до 200 мм </t>
  </si>
  <si>
    <t xml:space="preserve">Шаровые краны свыше 200 мм </t>
  </si>
  <si>
    <t>Электродвигатели</t>
  </si>
  <si>
    <t>Электрооборудование</t>
  </si>
  <si>
    <t>Электроустановочные изделия</t>
  </si>
  <si>
    <t>Арматура трубопроводная. Задвижки</t>
  </si>
  <si>
    <t>Арматура трубопроводная. Затворы.</t>
  </si>
  <si>
    <t>Арматура трубопроводная. Электропривод.</t>
  </si>
  <si>
    <t>Асбестотехнические и резинотехнические изделия</t>
  </si>
  <si>
    <t>Комплектующие и расходные материалы к компьютерному оборудованию</t>
  </si>
  <si>
    <t>Сварочное оборудование, запчасти, электроды</t>
  </si>
  <si>
    <t>Индекс</t>
  </si>
  <si>
    <t>А0002</t>
  </si>
  <si>
    <t>А0004</t>
  </si>
  <si>
    <t>А0006</t>
  </si>
  <si>
    <t>А0007</t>
  </si>
  <si>
    <t>А0008</t>
  </si>
  <si>
    <t>А0009</t>
  </si>
  <si>
    <t>А0011</t>
  </si>
  <si>
    <t>А0013</t>
  </si>
  <si>
    <t>А0016</t>
  </si>
  <si>
    <t>А0020</t>
  </si>
  <si>
    <t>А0021</t>
  </si>
  <si>
    <t>А0023</t>
  </si>
  <si>
    <t>А0029</t>
  </si>
  <si>
    <t>А0031</t>
  </si>
  <si>
    <t>А0033</t>
  </si>
  <si>
    <t>А0034</t>
  </si>
  <si>
    <t>А0036</t>
  </si>
  <si>
    <t>А0040</t>
  </si>
  <si>
    <t>А0042</t>
  </si>
  <si>
    <t>А0043</t>
  </si>
  <si>
    <t>А0046</t>
  </si>
  <si>
    <t>А0047</t>
  </si>
  <si>
    <t>А0048</t>
  </si>
  <si>
    <t>А0049</t>
  </si>
  <si>
    <t>А0050</t>
  </si>
  <si>
    <t>А0051</t>
  </si>
  <si>
    <t>А0052</t>
  </si>
  <si>
    <t>А0053</t>
  </si>
  <si>
    <t>А0054</t>
  </si>
  <si>
    <t>А0055</t>
  </si>
  <si>
    <t>А0056</t>
  </si>
  <si>
    <t>А0057</t>
  </si>
  <si>
    <t>А0058</t>
  </si>
  <si>
    <t>А0060</t>
  </si>
  <si>
    <t>А0061</t>
  </si>
  <si>
    <t>А0062</t>
  </si>
  <si>
    <t>А0063</t>
  </si>
  <si>
    <t>А0064</t>
  </si>
  <si>
    <t>А0065</t>
  </si>
  <si>
    <t>А0066</t>
  </si>
  <si>
    <t>А0067</t>
  </si>
  <si>
    <t>А0068</t>
  </si>
  <si>
    <t>А0069</t>
  </si>
  <si>
    <t>А0070</t>
  </si>
  <si>
    <t>А0071</t>
  </si>
  <si>
    <t>А0072</t>
  </si>
  <si>
    <t>А0073</t>
  </si>
  <si>
    <t>А0075</t>
  </si>
  <si>
    <t>А0076</t>
  </si>
  <si>
    <t>А0078</t>
  </si>
  <si>
    <t>А0079</t>
  </si>
  <si>
    <t>А0080</t>
  </si>
  <si>
    <t>А0081</t>
  </si>
  <si>
    <t>А0082</t>
  </si>
  <si>
    <t>А0083</t>
  </si>
  <si>
    <t>А0085</t>
  </si>
  <si>
    <t>А0086</t>
  </si>
  <si>
    <t>А0087</t>
  </si>
  <si>
    <t>А0088</t>
  </si>
  <si>
    <t>А0089</t>
  </si>
  <si>
    <t>А0091</t>
  </si>
  <si>
    <t>А0093</t>
  </si>
  <si>
    <t>А0094</t>
  </si>
  <si>
    <t>А0095</t>
  </si>
  <si>
    <t>А0096</t>
  </si>
  <si>
    <t>А0097</t>
  </si>
  <si>
    <t>А0098</t>
  </si>
  <si>
    <t>А0101</t>
  </si>
  <si>
    <t>А0102</t>
  </si>
  <si>
    <t>А0103</t>
  </si>
  <si>
    <t>А0104</t>
  </si>
  <si>
    <t>А0105</t>
  </si>
  <si>
    <t>А0106</t>
  </si>
  <si>
    <t>А0107</t>
  </si>
  <si>
    <t>А0109</t>
  </si>
  <si>
    <t>А0112</t>
  </si>
  <si>
    <t>А0114</t>
  </si>
  <si>
    <t>А0115</t>
  </si>
  <si>
    <t>А0116</t>
  </si>
  <si>
    <t>А0117</t>
  </si>
  <si>
    <t>А0118</t>
  </si>
  <si>
    <t>А0119</t>
  </si>
  <si>
    <t>А0120</t>
  </si>
  <si>
    <t>А0121</t>
  </si>
  <si>
    <t>А0122</t>
  </si>
  <si>
    <t>А0123</t>
  </si>
  <si>
    <t>А0124</t>
  </si>
  <si>
    <t>А0125</t>
  </si>
  <si>
    <t>А0126</t>
  </si>
  <si>
    <t>А0127</t>
  </si>
  <si>
    <t>А0128</t>
  </si>
  <si>
    <t>А0129</t>
  </si>
  <si>
    <t>А0130</t>
  </si>
  <si>
    <t>А0131</t>
  </si>
  <si>
    <t>А0132</t>
  </si>
  <si>
    <t>А0133</t>
  </si>
  <si>
    <t>А0134</t>
  </si>
  <si>
    <t>А0135</t>
  </si>
  <si>
    <t>А0136</t>
  </si>
  <si>
    <t>А0137</t>
  </si>
  <si>
    <t>А0138</t>
  </si>
  <si>
    <t>А0139</t>
  </si>
  <si>
    <t>А0142</t>
  </si>
  <si>
    <t>А0143</t>
  </si>
  <si>
    <t>А0144</t>
  </si>
  <si>
    <t>А0145</t>
  </si>
  <si>
    <t>А0146</t>
  </si>
  <si>
    <t>А0148</t>
  </si>
  <si>
    <t>А0150</t>
  </si>
  <si>
    <t>А0153</t>
  </si>
  <si>
    <t>А0154</t>
  </si>
  <si>
    <t>А0155</t>
  </si>
  <si>
    <t>А0166</t>
  </si>
  <si>
    <t>А0167</t>
  </si>
  <si>
    <t>А0168</t>
  </si>
  <si>
    <t>А0169</t>
  </si>
  <si>
    <t>А0171</t>
  </si>
  <si>
    <t>А0172</t>
  </si>
  <si>
    <t>А0173</t>
  </si>
  <si>
    <t>А0175</t>
  </si>
  <si>
    <t>А0176</t>
  </si>
  <si>
    <t>А0177</t>
  </si>
  <si>
    <t>А0179</t>
  </si>
  <si>
    <t>А0180</t>
  </si>
  <si>
    <t>А0181</t>
  </si>
  <si>
    <t>А0182</t>
  </si>
  <si>
    <t>А0183</t>
  </si>
  <si>
    <t>А0184</t>
  </si>
  <si>
    <t>А0185</t>
  </si>
  <si>
    <t>А0186</t>
  </si>
  <si>
    <t>А0187</t>
  </si>
  <si>
    <t>А0188</t>
  </si>
  <si>
    <t>А0189</t>
  </si>
  <si>
    <t>А0190</t>
  </si>
  <si>
    <t>А0191</t>
  </si>
  <si>
    <t>А0192</t>
  </si>
  <si>
    <t>А0193</t>
  </si>
  <si>
    <t>А0194</t>
  </si>
  <si>
    <t>А0196</t>
  </si>
  <si>
    <t>А0197</t>
  </si>
  <si>
    <t>А0198</t>
  </si>
  <si>
    <t>А0199</t>
  </si>
  <si>
    <t>А0200</t>
  </si>
  <si>
    <t>А0201</t>
  </si>
  <si>
    <t>А0203</t>
  </si>
  <si>
    <t>А0205</t>
  </si>
  <si>
    <t>А0206</t>
  </si>
  <si>
    <t>А0207</t>
  </si>
  <si>
    <t>А0210</t>
  </si>
  <si>
    <t>А0216</t>
  </si>
  <si>
    <t>А0217</t>
  </si>
  <si>
    <t>А0218</t>
  </si>
  <si>
    <t>А0219</t>
  </si>
  <si>
    <t>А0220</t>
  </si>
  <si>
    <t>А0221</t>
  </si>
  <si>
    <t>А0223</t>
  </si>
  <si>
    <t>А0224</t>
  </si>
  <si>
    <t>А0225</t>
  </si>
  <si>
    <t>А0226</t>
  </si>
  <si>
    <t>А0227</t>
  </si>
  <si>
    <t>А0228</t>
  </si>
  <si>
    <t>А0229</t>
  </si>
  <si>
    <t>А0230</t>
  </si>
  <si>
    <t>А0232</t>
  </si>
  <si>
    <t>А0233</t>
  </si>
  <si>
    <t>А0234</t>
  </si>
  <si>
    <t>А0237</t>
  </si>
  <si>
    <t>А0238</t>
  </si>
  <si>
    <t>А0239</t>
  </si>
  <si>
    <t>А0240</t>
  </si>
  <si>
    <t>А0242</t>
  </si>
  <si>
    <t>А0243</t>
  </si>
  <si>
    <t>А0244</t>
  </si>
  <si>
    <t>А0245</t>
  </si>
  <si>
    <t>А0246</t>
  </si>
  <si>
    <t>А0247</t>
  </si>
  <si>
    <t>А0248</t>
  </si>
  <si>
    <t>А0250</t>
  </si>
  <si>
    <t>А0251</t>
  </si>
  <si>
    <t>А0252</t>
  </si>
  <si>
    <t>А0253</t>
  </si>
  <si>
    <t>А0254</t>
  </si>
  <si>
    <t>А0255</t>
  </si>
  <si>
    <t>А0257</t>
  </si>
  <si>
    <t>А0258</t>
  </si>
  <si>
    <t>А0259</t>
  </si>
  <si>
    <t>А0260</t>
  </si>
  <si>
    <t>А0263</t>
  </si>
  <si>
    <t>А0265</t>
  </si>
  <si>
    <t>А0266</t>
  </si>
  <si>
    <t>А0267</t>
  </si>
  <si>
    <t>А0268</t>
  </si>
  <si>
    <t>А0269</t>
  </si>
  <si>
    <t>А0270</t>
  </si>
  <si>
    <t>А0271</t>
  </si>
  <si>
    <t>А0274</t>
  </si>
  <si>
    <t>А0278</t>
  </si>
  <si>
    <t>А0280</t>
  </si>
  <si>
    <t>А0281</t>
  </si>
  <si>
    <t>А0282</t>
  </si>
  <si>
    <t>А0283</t>
  </si>
  <si>
    <t>А0285</t>
  </si>
  <si>
    <t>А0286</t>
  </si>
  <si>
    <t>А0287</t>
  </si>
  <si>
    <t>А0288</t>
  </si>
  <si>
    <t>А0289</t>
  </si>
  <si>
    <t>А0291</t>
  </si>
  <si>
    <t>А0292</t>
  </si>
  <si>
    <t>А0293</t>
  </si>
  <si>
    <t>А0294</t>
  </si>
  <si>
    <t>А0295</t>
  </si>
  <si>
    <t>А0296</t>
  </si>
  <si>
    <t>А0297</t>
  </si>
  <si>
    <t>А0298</t>
  </si>
  <si>
    <t>А0299</t>
  </si>
  <si>
    <t>А0301</t>
  </si>
  <si>
    <t>А0304</t>
  </si>
  <si>
    <t>А0305</t>
  </si>
  <si>
    <t>А0306</t>
  </si>
  <si>
    <t>А0309</t>
  </si>
  <si>
    <t>А0311</t>
  </si>
  <si>
    <t>А0312</t>
  </si>
  <si>
    <t>А0313</t>
  </si>
  <si>
    <t>А0314</t>
  </si>
  <si>
    <t>А0316</t>
  </si>
  <si>
    <t>А0321</t>
  </si>
  <si>
    <t>А0323</t>
  </si>
  <si>
    <t>А0327</t>
  </si>
  <si>
    <t>А0328</t>
  </si>
  <si>
    <t>А0329</t>
  </si>
  <si>
    <t>А0330</t>
  </si>
  <si>
    <t>А0331</t>
  </si>
  <si>
    <t>А0332</t>
  </si>
  <si>
    <t>А0334</t>
  </si>
  <si>
    <t>А0337</t>
  </si>
  <si>
    <t>А0338</t>
  </si>
  <si>
    <t>А0339</t>
  </si>
  <si>
    <t>А0340</t>
  </si>
  <si>
    <t>А0341</t>
  </si>
  <si>
    <t>А0342</t>
  </si>
  <si>
    <t>А0348</t>
  </si>
  <si>
    <t>А0351</t>
  </si>
  <si>
    <t>А0352</t>
  </si>
  <si>
    <t>А0353</t>
  </si>
  <si>
    <t>А0357</t>
  </si>
  <si>
    <t>А0358</t>
  </si>
  <si>
    <t>А0359</t>
  </si>
  <si>
    <t>А0360</t>
  </si>
  <si>
    <t>А0361</t>
  </si>
  <si>
    <t>А0362</t>
  </si>
  <si>
    <t>А0364</t>
  </si>
  <si>
    <t>А0365</t>
  </si>
  <si>
    <t>А0366</t>
  </si>
  <si>
    <t>А0367</t>
  </si>
  <si>
    <t>А0369</t>
  </si>
  <si>
    <t>А0373</t>
  </si>
  <si>
    <t>А0374</t>
  </si>
  <si>
    <t>А0375</t>
  </si>
  <si>
    <t>А0377</t>
  </si>
  <si>
    <t>А0378</t>
  </si>
  <si>
    <t>А0384</t>
  </si>
  <si>
    <t>А0387</t>
  </si>
  <si>
    <t>А0388</t>
  </si>
  <si>
    <t>А0389</t>
  </si>
  <si>
    <t>А0390</t>
  </si>
  <si>
    <t>А0392</t>
  </si>
  <si>
    <t>А0393</t>
  </si>
  <si>
    <t>А0396</t>
  </si>
  <si>
    <t>А0397</t>
  </si>
  <si>
    <t>А0398</t>
  </si>
  <si>
    <t>А0399</t>
  </si>
  <si>
    <t>А0400</t>
  </si>
  <si>
    <t>А0401</t>
  </si>
  <si>
    <t>А0402</t>
  </si>
  <si>
    <t>А0403</t>
  </si>
  <si>
    <t>А0405</t>
  </si>
  <si>
    <t>А0407</t>
  </si>
  <si>
    <t>А0409</t>
  </si>
  <si>
    <t>А0410</t>
  </si>
  <si>
    <t>А0411</t>
  </si>
  <si>
    <t>А0412</t>
  </si>
  <si>
    <t>А0413</t>
  </si>
  <si>
    <t>А0414</t>
  </si>
  <si>
    <t>А0415</t>
  </si>
  <si>
    <t>А0416</t>
  </si>
  <si>
    <t>А0417</t>
  </si>
  <si>
    <t>А0418</t>
  </si>
  <si>
    <t>А0419</t>
  </si>
  <si>
    <t>А0420</t>
  </si>
  <si>
    <t>А0421</t>
  </si>
  <si>
    <t>А0422</t>
  </si>
  <si>
    <t>А0423</t>
  </si>
  <si>
    <t>А0424</t>
  </si>
  <si>
    <t>А0425</t>
  </si>
  <si>
    <t>А0426</t>
  </si>
  <si>
    <t>А0427</t>
  </si>
  <si>
    <t>А0428</t>
  </si>
  <si>
    <t>А0429</t>
  </si>
  <si>
    <t>А0430</t>
  </si>
  <si>
    <t>А0431</t>
  </si>
  <si>
    <t>А0432</t>
  </si>
  <si>
    <t>А0433</t>
  </si>
  <si>
    <t>А0434</t>
  </si>
  <si>
    <t>А0435</t>
  </si>
  <si>
    <t>А0436</t>
  </si>
  <si>
    <t>А0437</t>
  </si>
  <si>
    <t>А0439</t>
  </si>
  <si>
    <t>А0440</t>
  </si>
  <si>
    <t>А0441</t>
  </si>
  <si>
    <t>А0442</t>
  </si>
  <si>
    <t>А0443</t>
  </si>
  <si>
    <t>А0444</t>
  </si>
  <si>
    <t>А0445</t>
  </si>
  <si>
    <t>А0446</t>
  </si>
  <si>
    <t>А0447</t>
  </si>
  <si>
    <t>А0448</t>
  </si>
  <si>
    <t>А0449</t>
  </si>
  <si>
    <t>А0450</t>
  </si>
  <si>
    <t>А0451</t>
  </si>
  <si>
    <t>А0452</t>
  </si>
  <si>
    <t>А0453</t>
  </si>
  <si>
    <t>А0454</t>
  </si>
  <si>
    <t>А0455</t>
  </si>
  <si>
    <t>А0456</t>
  </si>
  <si>
    <t>А0457</t>
  </si>
  <si>
    <t>А0458</t>
  </si>
  <si>
    <t>А0459</t>
  </si>
  <si>
    <t>А0460</t>
  </si>
  <si>
    <t>А0461</t>
  </si>
  <si>
    <t>А0462</t>
  </si>
  <si>
    <t>А0463</t>
  </si>
  <si>
    <t>А0464</t>
  </si>
  <si>
    <t>А0465</t>
  </si>
  <si>
    <t>А0466</t>
  </si>
  <si>
    <t>А0467</t>
  </si>
  <si>
    <t>А0468</t>
  </si>
  <si>
    <t>А0469</t>
  </si>
  <si>
    <t>А0470</t>
  </si>
  <si>
    <t>А0471</t>
  </si>
  <si>
    <t>А0472</t>
  </si>
  <si>
    <t>А0473</t>
  </si>
  <si>
    <t>А0474</t>
  </si>
  <si>
    <t>А0475</t>
  </si>
  <si>
    <t>А0476</t>
  </si>
  <si>
    <t>А0477</t>
  </si>
  <si>
    <t>А0478</t>
  </si>
  <si>
    <t>А0479</t>
  </si>
  <si>
    <t>А0480</t>
  </si>
  <si>
    <t>А0481</t>
  </si>
  <si>
    <t>А0482</t>
  </si>
  <si>
    <t>А0483</t>
  </si>
  <si>
    <t>А0484</t>
  </si>
  <si>
    <t>А0485</t>
  </si>
  <si>
    <t>А0486</t>
  </si>
  <si>
    <t>А0487</t>
  </si>
  <si>
    <t>А0488</t>
  </si>
  <si>
    <t>А0489</t>
  </si>
  <si>
    <t>А0490</t>
  </si>
  <si>
    <t>А0491</t>
  </si>
  <si>
    <t>А0492</t>
  </si>
  <si>
    <t>А0493</t>
  </si>
  <si>
    <t>А0494</t>
  </si>
  <si>
    <t>А0495</t>
  </si>
  <si>
    <t>А0496</t>
  </si>
  <si>
    <t>А0497</t>
  </si>
  <si>
    <t>А0498</t>
  </si>
  <si>
    <t>А0499</t>
  </si>
  <si>
    <t>А0500</t>
  </si>
  <si>
    <t>А0501</t>
  </si>
  <si>
    <t>А0502</t>
  </si>
  <si>
    <t>А0503</t>
  </si>
  <si>
    <t>А0504</t>
  </si>
  <si>
    <t>А0505</t>
  </si>
  <si>
    <t>А0506</t>
  </si>
  <si>
    <t>А0507</t>
  </si>
  <si>
    <t>А0508</t>
  </si>
  <si>
    <t>А0509</t>
  </si>
  <si>
    <t>А0510</t>
  </si>
  <si>
    <t>А0511</t>
  </si>
  <si>
    <t>А0512</t>
  </si>
  <si>
    <t>А0513</t>
  </si>
  <si>
    <t>А0514</t>
  </si>
  <si>
    <t>А0515</t>
  </si>
  <si>
    <t>А0516</t>
  </si>
  <si>
    <t>А0517</t>
  </si>
  <si>
    <t>А0518</t>
  </si>
  <si>
    <t>А0519</t>
  </si>
  <si>
    <t>А0520</t>
  </si>
  <si>
    <t>А0521</t>
  </si>
  <si>
    <t>А0522</t>
  </si>
  <si>
    <t>А0523</t>
  </si>
  <si>
    <t>А0524</t>
  </si>
  <si>
    <t>А0525</t>
  </si>
  <si>
    <t>А0526</t>
  </si>
  <si>
    <t>А0527</t>
  </si>
  <si>
    <t>А0528</t>
  </si>
  <si>
    <t>А0529</t>
  </si>
  <si>
    <t>А0530</t>
  </si>
  <si>
    <t>А0531</t>
  </si>
  <si>
    <t>А0532</t>
  </si>
  <si>
    <t>А0533</t>
  </si>
  <si>
    <t>А0534</t>
  </si>
  <si>
    <t>А0535</t>
  </si>
  <si>
    <t>А0536</t>
  </si>
  <si>
    <t>А0537</t>
  </si>
  <si>
    <t>А0538</t>
  </si>
  <si>
    <t>А0539</t>
  </si>
  <si>
    <t>А0540</t>
  </si>
  <si>
    <t>А0541</t>
  </si>
  <si>
    <t>А0542</t>
  </si>
  <si>
    <t>А0544</t>
  </si>
  <si>
    <t>А0546</t>
  </si>
  <si>
    <t>А0547</t>
  </si>
  <si>
    <t>А0548</t>
  </si>
  <si>
    <t>А0549</t>
  </si>
  <si>
    <t>А0551</t>
  </si>
  <si>
    <t>А0552</t>
  </si>
  <si>
    <t>А0553</t>
  </si>
  <si>
    <t>А0554</t>
  </si>
  <si>
    <t>А0559</t>
  </si>
  <si>
    <t>А0560</t>
  </si>
  <si>
    <t>А0563</t>
  </si>
  <si>
    <t>А0564</t>
  </si>
  <si>
    <t>А0565</t>
  </si>
  <si>
    <t>А0566</t>
  </si>
  <si>
    <t>А0567</t>
  </si>
  <si>
    <t>А0568</t>
  </si>
  <si>
    <t>А0569</t>
  </si>
  <si>
    <t>А0570</t>
  </si>
  <si>
    <t>А0571</t>
  </si>
  <si>
    <t>А0572</t>
  </si>
  <si>
    <t>А0573</t>
  </si>
  <si>
    <t>А0574</t>
  </si>
  <si>
    <t>А0575</t>
  </si>
  <si>
    <t>А0576</t>
  </si>
  <si>
    <t>А0577</t>
  </si>
  <si>
    <t>А0578</t>
  </si>
  <si>
    <t>А0579</t>
  </si>
  <si>
    <t>А0580</t>
  </si>
  <si>
    <t>А0581</t>
  </si>
  <si>
    <t>А0582</t>
  </si>
  <si>
    <t>А0583</t>
  </si>
  <si>
    <t>А0584</t>
  </si>
  <si>
    <t>А0585</t>
  </si>
  <si>
    <t>А0586</t>
  </si>
  <si>
    <t>А0587</t>
  </si>
  <si>
    <t>А0588</t>
  </si>
  <si>
    <t>А0589</t>
  </si>
  <si>
    <t>А0590</t>
  </si>
  <si>
    <t>А0591</t>
  </si>
  <si>
    <t>А0592</t>
  </si>
  <si>
    <t>А0593</t>
  </si>
  <si>
    <t>А0594</t>
  </si>
  <si>
    <t>А0597</t>
  </si>
  <si>
    <t>А0595</t>
  </si>
  <si>
    <t>А0599</t>
  </si>
  <si>
    <t>А0600</t>
  </si>
  <si>
    <t>А0618</t>
  </si>
  <si>
    <t>А0621</t>
  </si>
  <si>
    <t>А0622</t>
  </si>
  <si>
    <t>А0623</t>
  </si>
  <si>
    <t>А0624</t>
  </si>
  <si>
    <t>А0627</t>
  </si>
  <si>
    <t>А0628</t>
  </si>
  <si>
    <t>А0649</t>
  </si>
  <si>
    <t>А0659</t>
  </si>
  <si>
    <t>А0660</t>
  </si>
  <si>
    <t>А0661</t>
  </si>
  <si>
    <t>А0662</t>
  </si>
  <si>
    <t>А0663</t>
  </si>
  <si>
    <t>А0664</t>
  </si>
  <si>
    <t>А0665</t>
  </si>
  <si>
    <t>А0668</t>
  </si>
  <si>
    <t>А0669</t>
  </si>
  <si>
    <t>А0670</t>
  </si>
  <si>
    <t>А0671</t>
  </si>
  <si>
    <t>А0672</t>
  </si>
  <si>
    <t>А0673</t>
  </si>
  <si>
    <t>А0674</t>
  </si>
  <si>
    <t>А0675</t>
  </si>
  <si>
    <t>А0676</t>
  </si>
  <si>
    <t>А0677</t>
  </si>
  <si>
    <t>А0678</t>
  </si>
  <si>
    <t>А0679</t>
  </si>
  <si>
    <t>А0680</t>
  </si>
  <si>
    <t>А0682</t>
  </si>
  <si>
    <t>А0683</t>
  </si>
  <si>
    <t>А0684</t>
  </si>
  <si>
    <t>А0685</t>
  </si>
  <si>
    <t>А0686</t>
  </si>
  <si>
    <t>А0687</t>
  </si>
  <si>
    <t>А0688</t>
  </si>
  <si>
    <t>А0689</t>
  </si>
  <si>
    <t>А0690</t>
  </si>
  <si>
    <t>А0692</t>
  </si>
  <si>
    <t>А0693</t>
  </si>
  <si>
    <t>А0694</t>
  </si>
  <si>
    <t>А0695</t>
  </si>
  <si>
    <t>А0696</t>
  </si>
  <si>
    <t>А0697</t>
  </si>
  <si>
    <t>А0698</t>
  </si>
  <si>
    <t>А0699</t>
  </si>
  <si>
    <t>А0701</t>
  </si>
  <si>
    <t>А0702</t>
  </si>
  <si>
    <t>А0703</t>
  </si>
  <si>
    <t>А0704</t>
  </si>
  <si>
    <t>А0705</t>
  </si>
  <si>
    <t>А0706</t>
  </si>
  <si>
    <t>А0707</t>
  </si>
  <si>
    <t>А0714</t>
  </si>
  <si>
    <t>А0715</t>
  </si>
  <si>
    <t>А0716</t>
  </si>
  <si>
    <t>А0717</t>
  </si>
  <si>
    <t>А0718</t>
  </si>
  <si>
    <t>А0719</t>
  </si>
  <si>
    <t>А0720</t>
  </si>
  <si>
    <t>А0721</t>
  </si>
  <si>
    <t>А0722</t>
  </si>
  <si>
    <t>А0723</t>
  </si>
  <si>
    <t>А0724</t>
  </si>
  <si>
    <t>А0725</t>
  </si>
  <si>
    <t>А0726</t>
  </si>
  <si>
    <t>А0727</t>
  </si>
  <si>
    <t>А0728</t>
  </si>
  <si>
    <t>А0729</t>
  </si>
  <si>
    <t>А0730</t>
  </si>
  <si>
    <t>А0732</t>
  </si>
  <si>
    <t>А0735</t>
  </si>
  <si>
    <t>А0736</t>
  </si>
  <si>
    <t>А0737</t>
  </si>
  <si>
    <t>А0738</t>
  </si>
  <si>
    <t>А0739</t>
  </si>
  <si>
    <t>А0741</t>
  </si>
  <si>
    <t>А0742</t>
  </si>
  <si>
    <t>А0743</t>
  </si>
  <si>
    <t>А0744</t>
  </si>
  <si>
    <t>А0745</t>
  </si>
  <si>
    <t>А0746</t>
  </si>
  <si>
    <t>А0747</t>
  </si>
  <si>
    <t>А0748</t>
  </si>
  <si>
    <t>А0750</t>
  </si>
  <si>
    <t>А0751</t>
  </si>
  <si>
    <t>А0752</t>
  </si>
  <si>
    <t>А0753</t>
  </si>
  <si>
    <t>А0754</t>
  </si>
  <si>
    <t>А0756</t>
  </si>
  <si>
    <t>А0757</t>
  </si>
  <si>
    <t>А0758</t>
  </si>
  <si>
    <t>А0759</t>
  </si>
  <si>
    <t>А0760</t>
  </si>
  <si>
    <t>А0761</t>
  </si>
  <si>
    <t>А0762</t>
  </si>
  <si>
    <t>А0763</t>
  </si>
  <si>
    <t>А0764</t>
  </si>
  <si>
    <t>А0766</t>
  </si>
  <si>
    <t>А0767</t>
  </si>
  <si>
    <t>А0768</t>
  </si>
  <si>
    <t>А0769</t>
  </si>
  <si>
    <t>А0770</t>
  </si>
  <si>
    <t>А0771</t>
  </si>
  <si>
    <t>А0772</t>
  </si>
  <si>
    <t>А0773</t>
  </si>
  <si>
    <t>А0774</t>
  </si>
  <si>
    <t>А0775</t>
  </si>
  <si>
    <t>А0776</t>
  </si>
  <si>
    <t>А0777</t>
  </si>
  <si>
    <t>А0778</t>
  </si>
  <si>
    <t>А0779</t>
  </si>
  <si>
    <t>А0780</t>
  </si>
  <si>
    <t>А0781</t>
  </si>
  <si>
    <t>А0782</t>
  </si>
  <si>
    <t>А0783</t>
  </si>
  <si>
    <t>А0784</t>
  </si>
  <si>
    <t>А0785</t>
  </si>
  <si>
    <t>А0786</t>
  </si>
  <si>
    <t>А0787</t>
  </si>
  <si>
    <t>А0788</t>
  </si>
  <si>
    <t>А0790</t>
  </si>
  <si>
    <t>А0791</t>
  </si>
  <si>
    <t>А0792</t>
  </si>
  <si>
    <t>А0793</t>
  </si>
  <si>
    <t>А0795</t>
  </si>
  <si>
    <t>А0796</t>
  </si>
  <si>
    <t>А0797</t>
  </si>
  <si>
    <t>А0798</t>
  </si>
  <si>
    <t>А0799</t>
  </si>
  <si>
    <t>А0800</t>
  </si>
  <si>
    <t>А0801</t>
  </si>
  <si>
    <t>А0802</t>
  </si>
  <si>
    <t>А0803</t>
  </si>
  <si>
    <t>А0804</t>
  </si>
  <si>
    <t>А0805</t>
  </si>
  <si>
    <t>А0806</t>
  </si>
  <si>
    <t>А0807</t>
  </si>
  <si>
    <t>А0808</t>
  </si>
  <si>
    <t>А0809</t>
  </si>
  <si>
    <t>А0810</t>
  </si>
  <si>
    <t>А0811</t>
  </si>
  <si>
    <t>А0812</t>
  </si>
  <si>
    <t>А0813</t>
  </si>
  <si>
    <t>А0814</t>
  </si>
  <si>
    <t>А0815</t>
  </si>
  <si>
    <t>А0816</t>
  </si>
  <si>
    <t>А0817</t>
  </si>
  <si>
    <t>А0818</t>
  </si>
  <si>
    <t>А0819</t>
  </si>
  <si>
    <t>А0820</t>
  </si>
  <si>
    <t>А0821</t>
  </si>
  <si>
    <t>А0822</t>
  </si>
  <si>
    <t>А0823</t>
  </si>
  <si>
    <t>А0824</t>
  </si>
  <si>
    <t>А0825</t>
  </si>
  <si>
    <t>А0826</t>
  </si>
  <si>
    <t>А0827</t>
  </si>
  <si>
    <t>А0828</t>
  </si>
  <si>
    <t>А0829</t>
  </si>
  <si>
    <t>А0830</t>
  </si>
  <si>
    <t>А0831</t>
  </si>
  <si>
    <t>А0832</t>
  </si>
  <si>
    <t>А0833</t>
  </si>
  <si>
    <t>А0834</t>
  </si>
  <si>
    <t>А0835</t>
  </si>
  <si>
    <t>А0836</t>
  </si>
  <si>
    <t>А0837</t>
  </si>
  <si>
    <t>А0838</t>
  </si>
  <si>
    <t>А0839</t>
  </si>
  <si>
    <t>А0840</t>
  </si>
  <si>
    <t>А0841</t>
  </si>
  <si>
    <t>А0842</t>
  </si>
  <si>
    <t>А0843</t>
  </si>
  <si>
    <t>А0844</t>
  </si>
  <si>
    <t>А0845</t>
  </si>
  <si>
    <t>А0846</t>
  </si>
  <si>
    <t>А0847</t>
  </si>
  <si>
    <t>А0848</t>
  </si>
  <si>
    <t>А0849</t>
  </si>
  <si>
    <t>А0850</t>
  </si>
  <si>
    <t>А0851</t>
  </si>
  <si>
    <t>А0853</t>
  </si>
  <si>
    <t>А0854</t>
  </si>
  <si>
    <t>А0855</t>
  </si>
  <si>
    <t>А0856</t>
  </si>
  <si>
    <t>А0857</t>
  </si>
  <si>
    <t>А0858</t>
  </si>
  <si>
    <t>А0859</t>
  </si>
  <si>
    <t>А0860</t>
  </si>
  <si>
    <t>А0861</t>
  </si>
  <si>
    <t>А0862</t>
  </si>
  <si>
    <t>А0863</t>
  </si>
  <si>
    <t>А0864</t>
  </si>
  <si>
    <t>А0865</t>
  </si>
  <si>
    <t>А0866</t>
  </si>
  <si>
    <t>А0867</t>
  </si>
  <si>
    <t>А0868</t>
  </si>
  <si>
    <t>А0869</t>
  </si>
  <si>
    <t>А0870</t>
  </si>
  <si>
    <t>А0872</t>
  </si>
  <si>
    <t>А0873</t>
  </si>
  <si>
    <t>А0874</t>
  </si>
  <si>
    <t>А0875</t>
  </si>
  <si>
    <t>А0876</t>
  </si>
  <si>
    <t>А0877</t>
  </si>
  <si>
    <t>А0878</t>
  </si>
  <si>
    <t>А0879</t>
  </si>
  <si>
    <t>А0880</t>
  </si>
  <si>
    <t>А0881</t>
  </si>
  <si>
    <t>А0882</t>
  </si>
  <si>
    <t>А0883</t>
  </si>
  <si>
    <t>А0884</t>
  </si>
  <si>
    <t>А0885</t>
  </si>
  <si>
    <t>А0886</t>
  </si>
  <si>
    <t>А0887</t>
  </si>
  <si>
    <t>А0889</t>
  </si>
  <si>
    <t>А0890</t>
  </si>
  <si>
    <t>А0891</t>
  </si>
  <si>
    <t>А0892</t>
  </si>
  <si>
    <t>А0893</t>
  </si>
  <si>
    <t>А0894</t>
  </si>
  <si>
    <t>А0896</t>
  </si>
  <si>
    <t>А0897</t>
  </si>
  <si>
    <t>А0899</t>
  </si>
  <si>
    <t>А0900</t>
  </si>
  <si>
    <t>А0901</t>
  </si>
  <si>
    <t>А0902</t>
  </si>
  <si>
    <t>А0903</t>
  </si>
  <si>
    <t>А0904</t>
  </si>
  <si>
    <t>А0906</t>
  </si>
  <si>
    <t>А0907</t>
  </si>
  <si>
    <t>А0909</t>
  </si>
  <si>
    <t>А0910</t>
  </si>
  <si>
    <t>А0911</t>
  </si>
  <si>
    <t>А0912</t>
  </si>
  <si>
    <t>А0915</t>
  </si>
  <si>
    <t>А0916</t>
  </si>
  <si>
    <t>А0917</t>
  </si>
  <si>
    <t>А0918</t>
  </si>
  <si>
    <t>А0920</t>
  </si>
  <si>
    <t>А0922</t>
  </si>
  <si>
    <t>А0923</t>
  </si>
  <si>
    <t>А0924</t>
  </si>
  <si>
    <t>А0925</t>
  </si>
  <si>
    <t>А0926</t>
  </si>
  <si>
    <t>А0927</t>
  </si>
  <si>
    <t>А0928</t>
  </si>
  <si>
    <t>А0929</t>
  </si>
  <si>
    <t>А0930</t>
  </si>
  <si>
    <t>А0931</t>
  </si>
  <si>
    <t>А0932</t>
  </si>
  <si>
    <t>А0933</t>
  </si>
  <si>
    <t>А0934</t>
  </si>
  <si>
    <t>А0935</t>
  </si>
  <si>
    <t>А0936</t>
  </si>
  <si>
    <t>А0938</t>
  </si>
  <si>
    <t>А0939</t>
  </si>
  <si>
    <t>А0940</t>
  </si>
  <si>
    <t>А0941</t>
  </si>
  <si>
    <t>А0942</t>
  </si>
  <si>
    <t>А0943</t>
  </si>
  <si>
    <t>А0944</t>
  </si>
  <si>
    <t>А0945</t>
  </si>
  <si>
    <t>А0946</t>
  </si>
  <si>
    <t>А0947</t>
  </si>
  <si>
    <t>А0948</t>
  </si>
  <si>
    <t>А0949</t>
  </si>
  <si>
    <t>А0950</t>
  </si>
  <si>
    <t>А0951</t>
  </si>
  <si>
    <t>А0952</t>
  </si>
  <si>
    <t>А0953</t>
  </si>
  <si>
    <t>А0954</t>
  </si>
  <si>
    <t>А0955</t>
  </si>
  <si>
    <t>А0956</t>
  </si>
  <si>
    <t>А0957</t>
  </si>
  <si>
    <t>А0959</t>
  </si>
  <si>
    <t>А0960</t>
  </si>
  <si>
    <t>А0961</t>
  </si>
  <si>
    <t>А0962</t>
  </si>
  <si>
    <t>А0963</t>
  </si>
  <si>
    <t>А0964</t>
  </si>
  <si>
    <t>А0965</t>
  </si>
  <si>
    <t>А0966</t>
  </si>
  <si>
    <t>А0967</t>
  </si>
  <si>
    <t>А0968</t>
  </si>
  <si>
    <t>А0969</t>
  </si>
  <si>
    <t>А0970</t>
  </si>
  <si>
    <t>А0971</t>
  </si>
  <si>
    <t>А0972</t>
  </si>
  <si>
    <t>А0973</t>
  </si>
  <si>
    <t>А0974</t>
  </si>
  <si>
    <t>А0975</t>
  </si>
  <si>
    <t>А0976</t>
  </si>
  <si>
    <t>А0977</t>
  </si>
  <si>
    <t>А0978</t>
  </si>
  <si>
    <t>А0979</t>
  </si>
  <si>
    <t>А0980</t>
  </si>
  <si>
    <t>А0981</t>
  </si>
  <si>
    <t>А0982</t>
  </si>
  <si>
    <t>А0983</t>
  </si>
  <si>
    <t>А0984</t>
  </si>
  <si>
    <t>А0985</t>
  </si>
  <si>
    <t>А0986</t>
  </si>
  <si>
    <t>А0987</t>
  </si>
  <si>
    <t>А0988</t>
  </si>
  <si>
    <t>А0989</t>
  </si>
  <si>
    <t>А0990</t>
  </si>
  <si>
    <t>А0991</t>
  </si>
  <si>
    <t>А0994</t>
  </si>
  <si>
    <t>А0995</t>
  </si>
  <si>
    <t>А0996</t>
  </si>
  <si>
    <t>А0997</t>
  </si>
  <si>
    <t>А0998</t>
  </si>
  <si>
    <t>А0999</t>
  </si>
  <si>
    <t>А1000</t>
  </si>
  <si>
    <t>А1001</t>
  </si>
  <si>
    <t>А1002</t>
  </si>
  <si>
    <t>А1003</t>
  </si>
  <si>
    <t>А1004</t>
  </si>
  <si>
    <t>А1005</t>
  </si>
  <si>
    <t>А1007</t>
  </si>
  <si>
    <t>А1008</t>
  </si>
  <si>
    <t>А1009</t>
  </si>
  <si>
    <t>А1010</t>
  </si>
  <si>
    <t>А1015</t>
  </si>
  <si>
    <t>А1016</t>
  </si>
  <si>
    <t>А1018</t>
  </si>
  <si>
    <t>А1019</t>
  </si>
  <si>
    <t>А1020</t>
  </si>
  <si>
    <t>А1022</t>
  </si>
  <si>
    <t>А1023</t>
  </si>
  <si>
    <t>А1024</t>
  </si>
  <si>
    <t>А1025</t>
  </si>
  <si>
    <t>А1026</t>
  </si>
  <si>
    <t>А1027</t>
  </si>
  <si>
    <t>А1028</t>
  </si>
  <si>
    <t>А1029</t>
  </si>
  <si>
    <t>А1030</t>
  </si>
  <si>
    <t>А1031</t>
  </si>
  <si>
    <t>А1032</t>
  </si>
  <si>
    <t>А1033</t>
  </si>
  <si>
    <t>А1034</t>
  </si>
  <si>
    <t>А1035</t>
  </si>
  <si>
    <t>А1036</t>
  </si>
  <si>
    <t>А1037</t>
  </si>
  <si>
    <t>А1038</t>
  </si>
  <si>
    <t>А1039</t>
  </si>
  <si>
    <t>А1040</t>
  </si>
  <si>
    <t>А1042</t>
  </si>
  <si>
    <t>А1043</t>
  </si>
  <si>
    <t>А1044</t>
  </si>
  <si>
    <t>А1045</t>
  </si>
  <si>
    <t>А1046</t>
  </si>
  <si>
    <t>А1047</t>
  </si>
  <si>
    <t>А1048</t>
  </si>
  <si>
    <t>А1049</t>
  </si>
  <si>
    <t>А1050</t>
  </si>
  <si>
    <t>А1053</t>
  </si>
  <si>
    <t>А1054</t>
  </si>
  <si>
    <t>А1055</t>
  </si>
  <si>
    <t>А1056</t>
  </si>
  <si>
    <t>А1057</t>
  </si>
  <si>
    <t>А1058</t>
  </si>
  <si>
    <t>А1059</t>
  </si>
  <si>
    <t>А1060</t>
  </si>
  <si>
    <t>А1061</t>
  </si>
  <si>
    <t>А1062</t>
  </si>
  <si>
    <t>А1063</t>
  </si>
  <si>
    <t>А1064</t>
  </si>
  <si>
    <t>А1065</t>
  </si>
  <si>
    <t>А1066</t>
  </si>
  <si>
    <t>А1068</t>
  </si>
  <si>
    <t>А1069</t>
  </si>
  <si>
    <t>А1070</t>
  </si>
  <si>
    <t>А1071</t>
  </si>
  <si>
    <t>А1072</t>
  </si>
  <si>
    <t>А1073</t>
  </si>
  <si>
    <t>А1074</t>
  </si>
  <si>
    <t>А1075</t>
  </si>
  <si>
    <t>А1076</t>
  </si>
  <si>
    <t>А1077</t>
  </si>
  <si>
    <t>А1078</t>
  </si>
  <si>
    <t>А1079</t>
  </si>
  <si>
    <t>А1080</t>
  </si>
  <si>
    <t>А1081</t>
  </si>
  <si>
    <t>А1082</t>
  </si>
  <si>
    <t>А1083</t>
  </si>
  <si>
    <t>А1084</t>
  </si>
  <si>
    <t>А1085</t>
  </si>
  <si>
    <t>А1086</t>
  </si>
  <si>
    <t>А1087</t>
  </si>
  <si>
    <t>А1088</t>
  </si>
  <si>
    <t>А1089</t>
  </si>
  <si>
    <t>А1090</t>
  </si>
  <si>
    <t>А1091</t>
  </si>
  <si>
    <t>А1092</t>
  </si>
  <si>
    <t>А1093</t>
  </si>
  <si>
    <t>А1094</t>
  </si>
  <si>
    <t>А1095</t>
  </si>
  <si>
    <t>А1096</t>
  </si>
  <si>
    <t>А1097</t>
  </si>
  <si>
    <t>А1098</t>
  </si>
  <si>
    <t>А1099</t>
  </si>
  <si>
    <t>А1100</t>
  </si>
  <si>
    <t>А1101</t>
  </si>
  <si>
    <t>А1102</t>
  </si>
  <si>
    <t>А1103</t>
  </si>
  <si>
    <t>А1104</t>
  </si>
  <si>
    <t>А1105</t>
  </si>
  <si>
    <t>А1106</t>
  </si>
  <si>
    <t>А1107</t>
  </si>
  <si>
    <t>А1108</t>
  </si>
  <si>
    <t>А1109</t>
  </si>
  <si>
    <t>А1110</t>
  </si>
  <si>
    <t>А1111</t>
  </si>
  <si>
    <t>А1112</t>
  </si>
  <si>
    <t>А1113</t>
  </si>
  <si>
    <t>А1114</t>
  </si>
  <si>
    <t>А1115</t>
  </si>
  <si>
    <t>А1116</t>
  </si>
  <si>
    <t>А1117</t>
  </si>
  <si>
    <t>А1118</t>
  </si>
  <si>
    <t>А1119</t>
  </si>
  <si>
    <t>А1120</t>
  </si>
  <si>
    <t>А1121</t>
  </si>
  <si>
    <t>А1122</t>
  </si>
  <si>
    <t>А1123</t>
  </si>
  <si>
    <t>А1124</t>
  </si>
  <si>
    <t>А1125</t>
  </si>
  <si>
    <t>А1126</t>
  </si>
  <si>
    <t>А1128</t>
  </si>
  <si>
    <t>А1129</t>
  </si>
  <si>
    <t>А1130</t>
  </si>
  <si>
    <t>А1131</t>
  </si>
  <si>
    <t>А1132</t>
  </si>
  <si>
    <t>А1133</t>
  </si>
  <si>
    <t>А1134</t>
  </si>
  <si>
    <t>А1135</t>
  </si>
  <si>
    <t>А1136</t>
  </si>
  <si>
    <t>А1137</t>
  </si>
  <si>
    <t>А1138</t>
  </si>
  <si>
    <t>А1139</t>
  </si>
  <si>
    <t>А1140</t>
  </si>
  <si>
    <t>А1141</t>
  </si>
  <si>
    <t>А1142</t>
  </si>
  <si>
    <t>А1143</t>
  </si>
  <si>
    <t>А1144</t>
  </si>
  <si>
    <t>А1145</t>
  </si>
  <si>
    <t>А1146</t>
  </si>
  <si>
    <t>А1147</t>
  </si>
  <si>
    <t>А1148</t>
  </si>
  <si>
    <t>А1149</t>
  </si>
  <si>
    <t>А1150</t>
  </si>
  <si>
    <t>А1151</t>
  </si>
  <si>
    <t>А1152</t>
  </si>
  <si>
    <t>А1153</t>
  </si>
  <si>
    <t>А1154</t>
  </si>
  <si>
    <t>А1155</t>
  </si>
  <si>
    <t>А1156</t>
  </si>
  <si>
    <t>А1157</t>
  </si>
  <si>
    <t>А1158</t>
  </si>
  <si>
    <t>А1159</t>
  </si>
  <si>
    <t>А1160</t>
  </si>
  <si>
    <t>А1161</t>
  </si>
  <si>
    <t>А1162</t>
  </si>
  <si>
    <t>А1163</t>
  </si>
  <si>
    <t>А1164</t>
  </si>
  <si>
    <t>А1165</t>
  </si>
  <si>
    <t>А1166</t>
  </si>
  <si>
    <t>А1167</t>
  </si>
  <si>
    <t>А1168</t>
  </si>
  <si>
    <t>А1169</t>
  </si>
  <si>
    <t>А1170</t>
  </si>
  <si>
    <t>А1171</t>
  </si>
  <si>
    <t>А1172</t>
  </si>
  <si>
    <t>А1173</t>
  </si>
  <si>
    <t>А1174</t>
  </si>
  <si>
    <t>А1175</t>
  </si>
  <si>
    <t>А1176</t>
  </si>
  <si>
    <t>А1177</t>
  </si>
  <si>
    <t>А1178</t>
  </si>
  <si>
    <t>А1179</t>
  </si>
  <si>
    <t>А1180</t>
  </si>
  <si>
    <t>А1181</t>
  </si>
  <si>
    <t>А1182</t>
  </si>
  <si>
    <t>А1183</t>
  </si>
  <si>
    <t>А1184</t>
  </si>
  <si>
    <t>А1185</t>
  </si>
  <si>
    <t>А1186</t>
  </si>
  <si>
    <t>А1187</t>
  </si>
  <si>
    <t>А1188</t>
  </si>
  <si>
    <t>А1189</t>
  </si>
  <si>
    <t>А1190</t>
  </si>
  <si>
    <t>А1191</t>
  </si>
  <si>
    <t>А1192</t>
  </si>
  <si>
    <t>А1193</t>
  </si>
  <si>
    <t>А1194</t>
  </si>
  <si>
    <t>А1195</t>
  </si>
  <si>
    <t>А1196</t>
  </si>
  <si>
    <t>А1197</t>
  </si>
  <si>
    <t>А1198</t>
  </si>
  <si>
    <t>А1199</t>
  </si>
  <si>
    <t>А1200</t>
  </si>
  <si>
    <t>А1201</t>
  </si>
  <si>
    <t>А1202</t>
  </si>
  <si>
    <t>А1203</t>
  </si>
  <si>
    <t>А1204</t>
  </si>
  <si>
    <t>А1205</t>
  </si>
  <si>
    <t>А1206</t>
  </si>
  <si>
    <t>А1207</t>
  </si>
  <si>
    <t>А1208</t>
  </si>
  <si>
    <t>А1209</t>
  </si>
  <si>
    <t>А1211</t>
  </si>
  <si>
    <t>А1213</t>
  </si>
  <si>
    <t>А1216</t>
  </si>
  <si>
    <t>А1217</t>
  </si>
  <si>
    <t>А1218</t>
  </si>
  <si>
    <t>А1219</t>
  </si>
  <si>
    <t>А1221</t>
  </si>
  <si>
    <t>А1222</t>
  </si>
  <si>
    <t>А1224</t>
  </si>
  <si>
    <t>А1225</t>
  </si>
  <si>
    <t>А1226</t>
  </si>
  <si>
    <t>А1229</t>
  </si>
  <si>
    <t>А1231</t>
  </si>
  <si>
    <t>А1232</t>
  </si>
  <si>
    <t>А1233</t>
  </si>
  <si>
    <t>А1235</t>
  </si>
  <si>
    <t>А1236</t>
  </si>
  <si>
    <t>А1241</t>
  </si>
  <si>
    <t>А1242</t>
  </si>
  <si>
    <t>А1243</t>
  </si>
  <si>
    <t>А1246</t>
  </si>
  <si>
    <t>А1247</t>
  </si>
  <si>
    <t>А1248</t>
  </si>
  <si>
    <t>А1249</t>
  </si>
  <si>
    <t>А1250</t>
  </si>
  <si>
    <t>А1251</t>
  </si>
  <si>
    <t>А1252</t>
  </si>
  <si>
    <t>А1253</t>
  </si>
  <si>
    <t>А1254</t>
  </si>
  <si>
    <t>А1255</t>
  </si>
  <si>
    <t>А1256</t>
  </si>
  <si>
    <t>А1257</t>
  </si>
  <si>
    <t>А1258</t>
  </si>
  <si>
    <t>А1259</t>
  </si>
  <si>
    <t>А1260</t>
  </si>
  <si>
    <t>А1261</t>
  </si>
  <si>
    <t>А1262</t>
  </si>
  <si>
    <t>А1263</t>
  </si>
  <si>
    <t>А1264</t>
  </si>
  <si>
    <t>А1265</t>
  </si>
  <si>
    <t>А1266</t>
  </si>
  <si>
    <t>А1267</t>
  </si>
  <si>
    <t>А1268</t>
  </si>
  <si>
    <t>А1269</t>
  </si>
  <si>
    <t>А1270</t>
  </si>
  <si>
    <t>А1271</t>
  </si>
  <si>
    <t>А1272</t>
  </si>
  <si>
    <t>А1273</t>
  </si>
  <si>
    <t>А1274</t>
  </si>
  <si>
    <t>А1275</t>
  </si>
  <si>
    <t>А1276</t>
  </si>
  <si>
    <t>А1277</t>
  </si>
  <si>
    <t>А1278</t>
  </si>
  <si>
    <t>А1280</t>
  </si>
  <si>
    <t>А1283</t>
  </si>
  <si>
    <t>А1284</t>
  </si>
  <si>
    <t>А1285</t>
  </si>
  <si>
    <t>А1286</t>
  </si>
  <si>
    <t>А1287</t>
  </si>
  <si>
    <t>А1288</t>
  </si>
  <si>
    <t>А1289</t>
  </si>
  <si>
    <t>А1290</t>
  </si>
  <si>
    <t>А1291</t>
  </si>
  <si>
    <t>А1293</t>
  </si>
  <si>
    <t>А1295</t>
  </si>
  <si>
    <t>А1296</t>
  </si>
  <si>
    <t>А1297</t>
  </si>
  <si>
    <t>А1298</t>
  </si>
  <si>
    <t>А1299</t>
  </si>
  <si>
    <t>А1300</t>
  </si>
  <si>
    <t>А1301</t>
  </si>
  <si>
    <t>А1302</t>
  </si>
  <si>
    <t>А1303</t>
  </si>
  <si>
    <t>А1304</t>
  </si>
  <si>
    <t>А1305</t>
  </si>
  <si>
    <t>А1307</t>
  </si>
  <si>
    <t>А1308</t>
  </si>
  <si>
    <t>А1309</t>
  </si>
  <si>
    <t>А1310</t>
  </si>
  <si>
    <t>А1311</t>
  </si>
  <si>
    <t>А1312</t>
  </si>
  <si>
    <t>А1313</t>
  </si>
  <si>
    <t>А1314</t>
  </si>
  <si>
    <t>А1315</t>
  </si>
  <si>
    <t>А1316</t>
  </si>
  <si>
    <t>А1317</t>
  </si>
  <si>
    <t>А1318</t>
  </si>
  <si>
    <t>А1319</t>
  </si>
  <si>
    <t>А1320</t>
  </si>
  <si>
    <t>А1321</t>
  </si>
  <si>
    <t>А1322</t>
  </si>
  <si>
    <t>А1323</t>
  </si>
  <si>
    <t>А1324</t>
  </si>
  <si>
    <t>А1325</t>
  </si>
  <si>
    <t>А1326</t>
  </si>
  <si>
    <t>А1327</t>
  </si>
  <si>
    <t>А1328</t>
  </si>
  <si>
    <t>А1329</t>
  </si>
  <si>
    <t>А1330</t>
  </si>
  <si>
    <t>А1331</t>
  </si>
  <si>
    <t>А1332</t>
  </si>
  <si>
    <t>А1333</t>
  </si>
  <si>
    <t>А1334</t>
  </si>
  <si>
    <t>А1335</t>
  </si>
  <si>
    <t>А1336</t>
  </si>
  <si>
    <t>А1337</t>
  </si>
  <si>
    <t>А1338</t>
  </si>
  <si>
    <t>А1339</t>
  </si>
  <si>
    <t>А1340</t>
  </si>
  <si>
    <t>А1341</t>
  </si>
  <si>
    <t>А1342</t>
  </si>
  <si>
    <t>А1343</t>
  </si>
  <si>
    <t>А1344</t>
  </si>
  <si>
    <t>А1345</t>
  </si>
  <si>
    <t>А1346</t>
  </si>
  <si>
    <t>А1347</t>
  </si>
  <si>
    <t>А1348</t>
  </si>
  <si>
    <t>А1349</t>
  </si>
  <si>
    <t>А1350</t>
  </si>
  <si>
    <t>А1351</t>
  </si>
  <si>
    <t>А1352</t>
  </si>
  <si>
    <t>А1353</t>
  </si>
  <si>
    <t>А1354</t>
  </si>
  <si>
    <t>А1355</t>
  </si>
  <si>
    <t>А1356</t>
  </si>
  <si>
    <t>А1357</t>
  </si>
  <si>
    <t>А1358</t>
  </si>
  <si>
    <t>А1359</t>
  </si>
  <si>
    <t>А1360</t>
  </si>
  <si>
    <t>А1361</t>
  </si>
  <si>
    <t>А1362</t>
  </si>
  <si>
    <t>А1363</t>
  </si>
  <si>
    <t>А1364</t>
  </si>
  <si>
    <t>А1365</t>
  </si>
  <si>
    <t>А1366</t>
  </si>
  <si>
    <t>А1367</t>
  </si>
  <si>
    <t>А1368</t>
  </si>
  <si>
    <t>А1369</t>
  </si>
  <si>
    <t>А1370</t>
  </si>
  <si>
    <t>А1371</t>
  </si>
  <si>
    <t>А1372</t>
  </si>
  <si>
    <t>А1373</t>
  </si>
  <si>
    <t>А1374</t>
  </si>
  <si>
    <t>А1375</t>
  </si>
  <si>
    <t>А1376</t>
  </si>
  <si>
    <t>А1377</t>
  </si>
  <si>
    <t>А1378</t>
  </si>
  <si>
    <t>А1379</t>
  </si>
  <si>
    <t>А1380</t>
  </si>
  <si>
    <t>А1381</t>
  </si>
  <si>
    <t>А1382</t>
  </si>
  <si>
    <t>А1383</t>
  </si>
  <si>
    <t>А1384</t>
  </si>
  <si>
    <t>А1385</t>
  </si>
  <si>
    <t>А1386</t>
  </si>
  <si>
    <t>А1387</t>
  </si>
  <si>
    <t>А1388</t>
  </si>
  <si>
    <t>А1389</t>
  </si>
  <si>
    <t>А1391</t>
  </si>
  <si>
    <t>А1392</t>
  </si>
  <si>
    <t>А1394</t>
  </si>
  <si>
    <t>А1399</t>
  </si>
  <si>
    <t>А1400</t>
  </si>
  <si>
    <t>А1401</t>
  </si>
  <si>
    <t>А1402</t>
  </si>
  <si>
    <t>А1403</t>
  </si>
  <si>
    <t>А1404</t>
  </si>
  <si>
    <t>А1405</t>
  </si>
  <si>
    <t>А1406</t>
  </si>
  <si>
    <t>А1407</t>
  </si>
  <si>
    <t>А1408</t>
  </si>
  <si>
    <t>А1409</t>
  </si>
  <si>
    <t>А1410</t>
  </si>
  <si>
    <t>А1411</t>
  </si>
  <si>
    <t>А1412</t>
  </si>
  <si>
    <t>А1413</t>
  </si>
  <si>
    <t>А1414</t>
  </si>
  <si>
    <t>А1415</t>
  </si>
  <si>
    <t>А1417</t>
  </si>
  <si>
    <t>А1420</t>
  </si>
  <si>
    <t>А1421</t>
  </si>
  <si>
    <t>А1422</t>
  </si>
  <si>
    <t>А1424</t>
  </si>
  <si>
    <t>А1431</t>
  </si>
  <si>
    <t>А1432</t>
  </si>
  <si>
    <t>А1433</t>
  </si>
  <si>
    <t>А1436</t>
  </si>
  <si>
    <t>А1437</t>
  </si>
  <si>
    <t>А1440</t>
  </si>
  <si>
    <t>А1442</t>
  </si>
  <si>
    <t>А1443</t>
  </si>
  <si>
    <t>А1444</t>
  </si>
  <si>
    <t>А1445</t>
  </si>
  <si>
    <t>А1446</t>
  </si>
  <si>
    <t>А1447</t>
  </si>
  <si>
    <t>А1449</t>
  </si>
  <si>
    <t>А1450</t>
  </si>
  <si>
    <t>А1451</t>
  </si>
  <si>
    <t>А1452</t>
  </si>
  <si>
    <t>А1453</t>
  </si>
  <si>
    <t>А1454</t>
  </si>
  <si>
    <t>А1455</t>
  </si>
  <si>
    <t>А1456</t>
  </si>
  <si>
    <t>А1457</t>
  </si>
  <si>
    <t>А1459</t>
  </si>
  <si>
    <t>А1461</t>
  </si>
  <si>
    <t>А1462</t>
  </si>
  <si>
    <t>А1463</t>
  </si>
  <si>
    <t>А1464</t>
  </si>
  <si>
    <t>А1465</t>
  </si>
  <si>
    <t>А1466</t>
  </si>
  <si>
    <t>А1467</t>
  </si>
  <si>
    <t>А1468</t>
  </si>
  <si>
    <t>А1469</t>
  </si>
  <si>
    <t>А1470</t>
  </si>
  <si>
    <t>А1472</t>
  </si>
  <si>
    <t>А1473</t>
  </si>
  <si>
    <t>А1474</t>
  </si>
  <si>
    <t>А1476</t>
  </si>
  <si>
    <t>А1477</t>
  </si>
  <si>
    <t>А1478</t>
  </si>
  <si>
    <t>А1479</t>
  </si>
  <si>
    <t>А1480</t>
  </si>
  <si>
    <t>А1481</t>
  </si>
  <si>
    <t>А1482</t>
  </si>
  <si>
    <t>А1483</t>
  </si>
  <si>
    <t>А1484</t>
  </si>
  <si>
    <t>А1485</t>
  </si>
  <si>
    <t>А1486</t>
  </si>
  <si>
    <t>А1487</t>
  </si>
  <si>
    <t>А1488</t>
  </si>
  <si>
    <t>А1489</t>
  </si>
  <si>
    <t>А1490</t>
  </si>
  <si>
    <t>А1493</t>
  </si>
  <si>
    <t>А1494</t>
  </si>
  <si>
    <t>А1497</t>
  </si>
  <si>
    <t>А1498</t>
  </si>
  <si>
    <t>А1499</t>
  </si>
  <si>
    <t>А1500</t>
  </si>
  <si>
    <t>А1501</t>
  </si>
  <si>
    <t>А1502</t>
  </si>
  <si>
    <t>А1503</t>
  </si>
  <si>
    <t>А1504</t>
  </si>
  <si>
    <t>А1505</t>
  </si>
  <si>
    <t>А1506</t>
  </si>
  <si>
    <t>А1508</t>
  </si>
  <si>
    <t>А1509</t>
  </si>
  <si>
    <t>А1510</t>
  </si>
  <si>
    <t>А1511</t>
  </si>
  <si>
    <t>А1512</t>
  </si>
  <si>
    <t>А1513</t>
  </si>
  <si>
    <t>А1514</t>
  </si>
  <si>
    <t>А1515</t>
  </si>
  <si>
    <t>А1516</t>
  </si>
  <si>
    <t>А1517</t>
  </si>
  <si>
    <t>А1518</t>
  </si>
  <si>
    <t>А1519</t>
  </si>
  <si>
    <t>А1520</t>
  </si>
  <si>
    <t>А1521</t>
  </si>
  <si>
    <t>А1524</t>
  </si>
  <si>
    <t>А1525</t>
  </si>
  <si>
    <t>А1526</t>
  </si>
  <si>
    <t>А1527</t>
  </si>
  <si>
    <t>А1528</t>
  </si>
  <si>
    <t>А1529</t>
  </si>
  <si>
    <t>А1531</t>
  </si>
  <si>
    <t>А1533</t>
  </si>
  <si>
    <t>А1534</t>
  </si>
  <si>
    <t>А1535</t>
  </si>
  <si>
    <t>А1536</t>
  </si>
  <si>
    <t>А1537</t>
  </si>
  <si>
    <t>А1538</t>
  </si>
  <si>
    <t>А1539</t>
  </si>
  <si>
    <t>А1540</t>
  </si>
  <si>
    <t>А1541</t>
  </si>
  <si>
    <t>А1543</t>
  </si>
  <si>
    <t>А1544</t>
  </si>
  <si>
    <t>А1546</t>
  </si>
  <si>
    <t>А1547</t>
  </si>
  <si>
    <t>А1549</t>
  </si>
  <si>
    <t>А1554</t>
  </si>
  <si>
    <t>А1556</t>
  </si>
  <si>
    <t>А1557</t>
  </si>
  <si>
    <t>А1558</t>
  </si>
  <si>
    <t>А1559</t>
  </si>
  <si>
    <t>А1560</t>
  </si>
  <si>
    <t>А1561</t>
  </si>
  <si>
    <t>А1562</t>
  </si>
  <si>
    <t>А1563</t>
  </si>
  <si>
    <t>А1564</t>
  </si>
  <si>
    <t>А1565</t>
  </si>
  <si>
    <t>А1566</t>
  </si>
  <si>
    <t>А1567</t>
  </si>
  <si>
    <t>А1568</t>
  </si>
  <si>
    <t>А1569</t>
  </si>
  <si>
    <t>А1570</t>
  </si>
  <si>
    <t>А1571</t>
  </si>
  <si>
    <t>А1573</t>
  </si>
  <si>
    <t>А1574</t>
  </si>
  <si>
    <t>А1575</t>
  </si>
  <si>
    <t>А1576</t>
  </si>
  <si>
    <t>А1577</t>
  </si>
  <si>
    <t>А1579</t>
  </si>
  <si>
    <t>А1580</t>
  </si>
  <si>
    <t>А1581</t>
  </si>
  <si>
    <t>А1582</t>
  </si>
  <si>
    <t>А1583</t>
  </si>
  <si>
    <t>А1586</t>
  </si>
  <si>
    <t>А1587</t>
  </si>
  <si>
    <t>А1588</t>
  </si>
  <si>
    <t>А1589</t>
  </si>
  <si>
    <t>А1590</t>
  </si>
  <si>
    <t>А1591</t>
  </si>
  <si>
    <t>А1592</t>
  </si>
  <si>
    <t>А1595</t>
  </si>
  <si>
    <t>А1596</t>
  </si>
  <si>
    <t>А1597</t>
  </si>
  <si>
    <t>А1598</t>
  </si>
  <si>
    <t>А1599</t>
  </si>
  <si>
    <t>А1600</t>
  </si>
  <si>
    <t>А1601</t>
  </si>
  <si>
    <t>А1602</t>
  </si>
  <si>
    <t>А1603</t>
  </si>
  <si>
    <t>А1604</t>
  </si>
  <si>
    <t>А1605</t>
  </si>
  <si>
    <t>А1606</t>
  </si>
  <si>
    <t>А1607</t>
  </si>
  <si>
    <t>А1608</t>
  </si>
  <si>
    <t>А1609</t>
  </si>
  <si>
    <t>А1610</t>
  </si>
  <si>
    <t>А1611</t>
  </si>
  <si>
    <t>А1612</t>
  </si>
  <si>
    <t>А1613</t>
  </si>
  <si>
    <t>А1615</t>
  </si>
  <si>
    <t>А1622</t>
  </si>
  <si>
    <t>А1628</t>
  </si>
  <si>
    <t>А1629</t>
  </si>
  <si>
    <t>А1630</t>
  </si>
  <si>
    <t>А1631</t>
  </si>
  <si>
    <t>А1632</t>
  </si>
  <si>
    <t>А1634</t>
  </si>
  <si>
    <t>А1635</t>
  </si>
  <si>
    <t>А1636</t>
  </si>
  <si>
    <t>А1637</t>
  </si>
  <si>
    <t>А1638</t>
  </si>
  <si>
    <t>А1639</t>
  </si>
  <si>
    <t>А1640</t>
  </si>
  <si>
    <t>А1641</t>
  </si>
  <si>
    <t>А1642</t>
  </si>
  <si>
    <t>А1645</t>
  </si>
  <si>
    <t>А1646</t>
  </si>
  <si>
    <t>А1647</t>
  </si>
  <si>
    <t>А1649</t>
  </si>
  <si>
    <t>А1650</t>
  </si>
  <si>
    <t>А1651</t>
  </si>
  <si>
    <t>А1652</t>
  </si>
  <si>
    <t>А1653</t>
  </si>
  <si>
    <t>А1654</t>
  </si>
  <si>
    <t>А1655</t>
  </si>
  <si>
    <t>А1656</t>
  </si>
  <si>
    <t>А1657</t>
  </si>
  <si>
    <t>А1658</t>
  </si>
  <si>
    <t>А1660</t>
  </si>
  <si>
    <t>А1661</t>
  </si>
  <si>
    <t>А1668</t>
  </si>
  <si>
    <t>А1669</t>
  </si>
  <si>
    <t>А1670</t>
  </si>
  <si>
    <t>А1673</t>
  </si>
  <si>
    <t>А1677</t>
  </si>
  <si>
    <t>А1678</t>
  </si>
  <si>
    <t>А1679</t>
  </si>
  <si>
    <t>А1680</t>
  </si>
  <si>
    <t>А1682</t>
  </si>
  <si>
    <t>А1683</t>
  </si>
  <si>
    <t>А1684</t>
  </si>
  <si>
    <t>А1687</t>
  </si>
  <si>
    <t>А1688</t>
  </si>
  <si>
    <t>А1690</t>
  </si>
  <si>
    <t>А1691</t>
  </si>
  <si>
    <t>А1692</t>
  </si>
  <si>
    <t>А1693</t>
  </si>
  <si>
    <t>А1694</t>
  </si>
  <si>
    <t>А1695</t>
  </si>
  <si>
    <t>А1697</t>
  </si>
  <si>
    <t>А1698</t>
  </si>
  <si>
    <t>А1699</t>
  </si>
  <si>
    <t>А1700</t>
  </si>
  <si>
    <t>А1703</t>
  </si>
  <si>
    <t>А1704</t>
  </si>
  <si>
    <t>А1705</t>
  </si>
  <si>
    <t>А1707</t>
  </si>
  <si>
    <t>А1708</t>
  </si>
  <si>
    <t>А1710</t>
  </si>
  <si>
    <t>А1711</t>
  </si>
  <si>
    <t>А1713</t>
  </si>
  <si>
    <t>А1716</t>
  </si>
  <si>
    <t>А1717</t>
  </si>
  <si>
    <t>А1718</t>
  </si>
  <si>
    <t>А1719</t>
  </si>
  <si>
    <t>А1721</t>
  </si>
  <si>
    <t>А1723</t>
  </si>
  <si>
    <t>А1724</t>
  </si>
  <si>
    <t>А1725</t>
  </si>
  <si>
    <t>А1726</t>
  </si>
  <si>
    <t>А1728</t>
  </si>
  <si>
    <t>А1729</t>
  </si>
  <si>
    <t>А1730</t>
  </si>
  <si>
    <t>А1731</t>
  </si>
  <si>
    <t>А1732</t>
  </si>
  <si>
    <t>А1733</t>
  </si>
  <si>
    <t>А1734</t>
  </si>
  <si>
    <t>А1735</t>
  </si>
  <si>
    <t>А1737</t>
  </si>
  <si>
    <t>А1742</t>
  </si>
  <si>
    <t>А1744</t>
  </si>
  <si>
    <t>А1745</t>
  </si>
  <si>
    <t>А1746</t>
  </si>
  <si>
    <t>А1747</t>
  </si>
  <si>
    <t>А1754</t>
  </si>
  <si>
    <t>А1755</t>
  </si>
  <si>
    <t>А1756</t>
  </si>
  <si>
    <t>А1757</t>
  </si>
  <si>
    <t>А1758</t>
  </si>
  <si>
    <t>А1759</t>
  </si>
  <si>
    <t>А1760</t>
  </si>
  <si>
    <t>А1762</t>
  </si>
  <si>
    <t>А1763</t>
  </si>
  <si>
    <t>А1764</t>
  </si>
  <si>
    <t>А1766</t>
  </si>
  <si>
    <t>А1767</t>
  </si>
  <si>
    <t>А1768</t>
  </si>
  <si>
    <t>А1769</t>
  </si>
  <si>
    <t>А1770</t>
  </si>
  <si>
    <t>А1772</t>
  </si>
  <si>
    <t>А1773</t>
  </si>
  <si>
    <t>А1774</t>
  </si>
  <si>
    <t>А1781</t>
  </si>
  <si>
    <t>А1784</t>
  </si>
  <si>
    <t>А1786</t>
  </si>
  <si>
    <t>А1788</t>
  </si>
  <si>
    <t>А1789</t>
  </si>
  <si>
    <t>А1790</t>
  </si>
  <si>
    <t>А1791</t>
  </si>
  <si>
    <t>А1792</t>
  </si>
  <si>
    <t>А1795</t>
  </si>
  <si>
    <t>А1796</t>
  </si>
  <si>
    <t>А1797</t>
  </si>
  <si>
    <t>А1798</t>
  </si>
  <si>
    <t>А1799</t>
  </si>
  <si>
    <t>А1801</t>
  </si>
  <si>
    <t>А1802</t>
  </si>
  <si>
    <t>А1805</t>
  </si>
  <si>
    <t>А1806</t>
  </si>
  <si>
    <t>А1807</t>
  </si>
  <si>
    <t>А1808</t>
  </si>
  <si>
    <t>А1809</t>
  </si>
  <si>
    <t>А1810</t>
  </si>
  <si>
    <t>А1811</t>
  </si>
  <si>
    <t>А1812</t>
  </si>
  <si>
    <t>А1815</t>
  </si>
  <si>
    <t>А1816</t>
  </si>
  <si>
    <t>А1817</t>
  </si>
  <si>
    <t>А1818</t>
  </si>
  <si>
    <t>А1819</t>
  </si>
  <si>
    <t>А1820</t>
  </si>
  <si>
    <t>А1821</t>
  </si>
  <si>
    <t>А1822</t>
  </si>
  <si>
    <t>А1823</t>
  </si>
  <si>
    <t>А1824</t>
  </si>
  <si>
    <t>А1825</t>
  </si>
  <si>
    <t>А1826</t>
  </si>
  <si>
    <t>А1827</t>
  </si>
  <si>
    <t>А1828</t>
  </si>
  <si>
    <t>А1829</t>
  </si>
  <si>
    <t>А1830</t>
  </si>
  <si>
    <t>А1831</t>
  </si>
  <si>
    <t>А1832</t>
  </si>
  <si>
    <t>А1833</t>
  </si>
  <si>
    <t>А1834</t>
  </si>
  <si>
    <t>А1835</t>
  </si>
  <si>
    <t>А1836</t>
  </si>
  <si>
    <t>А1837</t>
  </si>
  <si>
    <t>А1838</t>
  </si>
  <si>
    <t>А1839</t>
  </si>
  <si>
    <t>А1840</t>
  </si>
  <si>
    <t>А1841</t>
  </si>
  <si>
    <t>А1842</t>
  </si>
  <si>
    <t>А1843</t>
  </si>
  <si>
    <t>А1844</t>
  </si>
  <si>
    <t>А1845</t>
  </si>
  <si>
    <t>А1846</t>
  </si>
  <si>
    <t>А1847</t>
  </si>
  <si>
    <t>А1848</t>
  </si>
  <si>
    <t>А1849</t>
  </si>
  <si>
    <t>А1850</t>
  </si>
  <si>
    <t>А1851</t>
  </si>
  <si>
    <t>А1852</t>
  </si>
  <si>
    <t>А1855</t>
  </si>
  <si>
    <t>А1856</t>
  </si>
  <si>
    <t>А1866</t>
  </si>
  <si>
    <t>А1867</t>
  </si>
  <si>
    <t>А1868</t>
  </si>
  <si>
    <t>А1869</t>
  </si>
  <si>
    <t>А1870</t>
  </si>
  <si>
    <t>А1871</t>
  </si>
  <si>
    <t>А1872</t>
  </si>
  <si>
    <t>А1873</t>
  </si>
  <si>
    <t>А1874</t>
  </si>
  <si>
    <t>А1876</t>
  </si>
  <si>
    <t>А1877</t>
  </si>
  <si>
    <t>А1878</t>
  </si>
  <si>
    <t>А1879</t>
  </si>
  <si>
    <t>А1880</t>
  </si>
  <si>
    <t>А1881</t>
  </si>
  <si>
    <t>А1882</t>
  </si>
  <si>
    <t>А1883</t>
  </si>
  <si>
    <t>А1884</t>
  </si>
  <si>
    <t>А1885</t>
  </si>
  <si>
    <t>А1890</t>
  </si>
  <si>
    <t>А1891</t>
  </si>
  <si>
    <t>А1892</t>
  </si>
  <si>
    <t>А1893</t>
  </si>
  <si>
    <t>А1894</t>
  </si>
  <si>
    <t>А1895</t>
  </si>
  <si>
    <t>А1896</t>
  </si>
  <si>
    <t>А1897</t>
  </si>
  <si>
    <t>А1898</t>
  </si>
  <si>
    <t>А1900</t>
  </si>
  <si>
    <t>А1901</t>
  </si>
  <si>
    <t>А1902</t>
  </si>
  <si>
    <t>А1903</t>
  </si>
  <si>
    <t>А1904</t>
  </si>
  <si>
    <t>А1905</t>
  </si>
  <si>
    <t>А1906</t>
  </si>
  <si>
    <t>А1908</t>
  </si>
  <si>
    <t>А1909</t>
  </si>
  <si>
    <t>А1918</t>
  </si>
  <si>
    <t>А1919</t>
  </si>
  <si>
    <t>А1920</t>
  </si>
  <si>
    <t>А1921</t>
  </si>
  <si>
    <t>А1922</t>
  </si>
  <si>
    <t>А1924</t>
  </si>
  <si>
    <t>А1925</t>
  </si>
  <si>
    <t>А1926</t>
  </si>
  <si>
    <t>А1927</t>
  </si>
  <si>
    <t>А1928</t>
  </si>
  <si>
    <t>А1929</t>
  </si>
  <si>
    <t>А1930</t>
  </si>
  <si>
    <t>А1931</t>
  </si>
  <si>
    <t>А1932</t>
  </si>
  <si>
    <t>А1933</t>
  </si>
  <si>
    <t>А1934</t>
  </si>
  <si>
    <t>А1935</t>
  </si>
  <si>
    <t>А1936</t>
  </si>
  <si>
    <t>А1937</t>
  </si>
  <si>
    <t>А1938</t>
  </si>
  <si>
    <t>А1939</t>
  </si>
  <si>
    <t>А1940</t>
  </si>
  <si>
    <t>А1941</t>
  </si>
  <si>
    <t>А1942</t>
  </si>
  <si>
    <t>А1943</t>
  </si>
  <si>
    <t>А1944</t>
  </si>
  <si>
    <t>А1945</t>
  </si>
  <si>
    <t>А1946</t>
  </si>
  <si>
    <t>А1947</t>
  </si>
  <si>
    <t>А1948</t>
  </si>
  <si>
    <t>А1949</t>
  </si>
  <si>
    <t>А1950</t>
  </si>
  <si>
    <t>А1951</t>
  </si>
  <si>
    <t>А1952</t>
  </si>
  <si>
    <t>А1953</t>
  </si>
  <si>
    <t>А1954</t>
  </si>
  <si>
    <t>А1955</t>
  </si>
  <si>
    <t>А1956</t>
  </si>
  <si>
    <t>А1957</t>
  </si>
  <si>
    <t>А1958</t>
  </si>
  <si>
    <t>А1959</t>
  </si>
  <si>
    <t>А1960</t>
  </si>
  <si>
    <t>А1961</t>
  </si>
  <si>
    <t>А1962</t>
  </si>
  <si>
    <t>А1963</t>
  </si>
  <si>
    <t>А1964</t>
  </si>
  <si>
    <t>А1965</t>
  </si>
  <si>
    <t>А1966</t>
  </si>
  <si>
    <t>А1967</t>
  </si>
  <si>
    <t>А1968</t>
  </si>
  <si>
    <t>А1969</t>
  </si>
  <si>
    <t>А1970</t>
  </si>
  <si>
    <t>А1971</t>
  </si>
  <si>
    <t>А1972</t>
  </si>
  <si>
    <t>А1973</t>
  </si>
  <si>
    <t>А1974</t>
  </si>
  <si>
    <t>А1975</t>
  </si>
  <si>
    <t>А1976</t>
  </si>
  <si>
    <t>А1977</t>
  </si>
  <si>
    <t>А1978</t>
  </si>
  <si>
    <t>А1979</t>
  </si>
  <si>
    <t>А1980</t>
  </si>
  <si>
    <t>А1981</t>
  </si>
  <si>
    <t>А1982</t>
  </si>
  <si>
    <t>А1983</t>
  </si>
  <si>
    <t>А1984</t>
  </si>
  <si>
    <t>А1985</t>
  </si>
  <si>
    <t>А1986</t>
  </si>
  <si>
    <t>А1987</t>
  </si>
  <si>
    <t>А1988</t>
  </si>
  <si>
    <t>А1989</t>
  </si>
  <si>
    <t>А1990</t>
  </si>
  <si>
    <t>А1991</t>
  </si>
  <si>
    <t>А1992</t>
  </si>
  <si>
    <t>А1993</t>
  </si>
  <si>
    <t>А1994</t>
  </si>
  <si>
    <t>А1995</t>
  </si>
  <si>
    <t>А1996</t>
  </si>
  <si>
    <t>А1997</t>
  </si>
  <si>
    <t>А1998</t>
  </si>
  <si>
    <t>А1999</t>
  </si>
  <si>
    <t>А2000</t>
  </si>
  <si>
    <t>А2001</t>
  </si>
  <si>
    <t>А2002</t>
  </si>
  <si>
    <t>А2003</t>
  </si>
  <si>
    <t>А2004</t>
  </si>
  <si>
    <t>А2005</t>
  </si>
  <si>
    <t>А2008</t>
  </si>
  <si>
    <t>А2009</t>
  </si>
  <si>
    <t>А2010</t>
  </si>
  <si>
    <t>А2011</t>
  </si>
  <si>
    <t>А2012</t>
  </si>
  <si>
    <t>А2013</t>
  </si>
  <si>
    <t>А2014</t>
  </si>
  <si>
    <t>А2015</t>
  </si>
  <si>
    <t>А2016</t>
  </si>
  <si>
    <t>А2017</t>
  </si>
  <si>
    <t>А2018</t>
  </si>
  <si>
    <t>А2019</t>
  </si>
  <si>
    <t>А2020</t>
  </si>
  <si>
    <t>А2021</t>
  </si>
  <si>
    <t>А2022</t>
  </si>
  <si>
    <t>А2023</t>
  </si>
  <si>
    <t>А2024</t>
  </si>
  <si>
    <t>А2025</t>
  </si>
  <si>
    <t>А2026</t>
  </si>
  <si>
    <t>А2027</t>
  </si>
  <si>
    <t>А2028</t>
  </si>
  <si>
    <t>А2029</t>
  </si>
  <si>
    <t>А2030</t>
  </si>
  <si>
    <t>А2031</t>
  </si>
  <si>
    <t>А2032</t>
  </si>
  <si>
    <t>А2033</t>
  </si>
  <si>
    <t>А2034</t>
  </si>
  <si>
    <t>А2035</t>
  </si>
  <si>
    <t>А2036</t>
  </si>
  <si>
    <t>А2037</t>
  </si>
  <si>
    <t>А2038</t>
  </si>
  <si>
    <t>А2039</t>
  </si>
  <si>
    <t>А2040</t>
  </si>
  <si>
    <t>А2041</t>
  </si>
  <si>
    <t>А2042</t>
  </si>
  <si>
    <t>А2043</t>
  </si>
  <si>
    <t>А2046</t>
  </si>
  <si>
    <t>А2047</t>
  </si>
  <si>
    <t>А2049</t>
  </si>
  <si>
    <t>А2050</t>
  </si>
  <si>
    <t>А2065</t>
  </si>
  <si>
    <t>А2066</t>
  </si>
  <si>
    <t>А2068</t>
  </si>
  <si>
    <t>А2069</t>
  </si>
  <si>
    <t>А2073</t>
  </si>
  <si>
    <t>А2076</t>
  </si>
  <si>
    <t>А2079</t>
  </si>
  <si>
    <t>А2080</t>
  </si>
  <si>
    <t>А2088</t>
  </si>
  <si>
    <t>А2090</t>
  </si>
  <si>
    <t>А2092</t>
  </si>
  <si>
    <t>А2095</t>
  </si>
  <si>
    <t>А2096</t>
  </si>
  <si>
    <t>А2097</t>
  </si>
  <si>
    <t>А2098</t>
  </si>
  <si>
    <t>А2099</t>
  </si>
  <si>
    <t>А2100</t>
  </si>
  <si>
    <t>А2101</t>
  </si>
  <si>
    <t>А2103</t>
  </si>
  <si>
    <t>А2104</t>
  </si>
  <si>
    <t>А2105</t>
  </si>
  <si>
    <t>А2106</t>
  </si>
  <si>
    <t>А2107</t>
  </si>
  <si>
    <t>А2110</t>
  </si>
  <si>
    <t>А2111</t>
  </si>
  <si>
    <t>А2112</t>
  </si>
  <si>
    <t>А2113</t>
  </si>
  <si>
    <t>А2114</t>
  </si>
  <si>
    <t>А2115</t>
  </si>
  <si>
    <t>А2116</t>
  </si>
  <si>
    <t>А2117</t>
  </si>
  <si>
    <t>А2118</t>
  </si>
  <si>
    <t>А2120</t>
  </si>
  <si>
    <t>А2126</t>
  </si>
  <si>
    <t>А2127</t>
  </si>
  <si>
    <t>А2128</t>
  </si>
  <si>
    <t>А2132</t>
  </si>
  <si>
    <t>А2133</t>
  </si>
  <si>
    <t>А2134</t>
  </si>
  <si>
    <t>А2135</t>
  </si>
  <si>
    <t>А2136</t>
  </si>
  <si>
    <t>А2137</t>
  </si>
  <si>
    <t>А2138</t>
  </si>
  <si>
    <t>А2139</t>
  </si>
  <si>
    <t>А2140</t>
  </si>
  <si>
    <t>А2141</t>
  </si>
  <si>
    <t>А2142</t>
  </si>
  <si>
    <t>А2144</t>
  </si>
  <si>
    <t>А2145</t>
  </si>
  <si>
    <t>А2146</t>
  </si>
  <si>
    <t>А2147</t>
  </si>
  <si>
    <t>А2148</t>
  </si>
  <si>
    <t>А2149</t>
  </si>
  <si>
    <t>А2150</t>
  </si>
  <si>
    <t>А2151</t>
  </si>
  <si>
    <t>А2152</t>
  </si>
  <si>
    <t>А2153</t>
  </si>
  <si>
    <t>А2156</t>
  </si>
  <si>
    <t>Счётчик ПСЧ-4А.05.2 220/380 5</t>
  </si>
  <si>
    <t>Модуль вывода Allen-Bradley 1</t>
  </si>
  <si>
    <t>Контроллер Allen-Bradley 1747</t>
  </si>
  <si>
    <t>Модуль вв/выв Allen-Bradley 1</t>
  </si>
  <si>
    <t>Модуль адаптера Allen-Bradley</t>
  </si>
  <si>
    <t>Фотосигнализатор пламени ФСП 1.2</t>
  </si>
  <si>
    <t>Э/п Siemens SQX32.00 230В</t>
  </si>
  <si>
    <t>Блок БПС-90П-240-УХЛ.3(-20+60)С-4-20</t>
  </si>
  <si>
    <t>А2157</t>
  </si>
  <si>
    <t>А2158</t>
  </si>
  <si>
    <t>А2159</t>
  </si>
  <si>
    <t>А2160</t>
  </si>
  <si>
    <t>А2161</t>
  </si>
  <si>
    <t>А2162</t>
  </si>
  <si>
    <t>А2163</t>
  </si>
  <si>
    <t>А2164</t>
  </si>
  <si>
    <t>А2165</t>
  </si>
  <si>
    <t>А2166</t>
  </si>
  <si>
    <t>А2167</t>
  </si>
  <si>
    <t xml:space="preserve">Электротехническое оборудование и КИПиА </t>
  </si>
  <si>
    <t>(0806) Щорса ул., д.13</t>
  </si>
  <si>
    <t>ДН-2,5 0,04-2,5кПа</t>
  </si>
  <si>
    <t>Allen-Bradley 1</t>
  </si>
  <si>
    <t>Фото</t>
  </si>
  <si>
    <t>Паспорт. Фото</t>
  </si>
  <si>
    <t xml:space="preserve"> Сертификат. Фото</t>
  </si>
  <si>
    <t>Инструкция по эксплуатации. Фото.</t>
  </si>
  <si>
    <t>А1740</t>
  </si>
  <si>
    <t>Модуль вв/выв Allen-Bradley 1746-IB32</t>
  </si>
  <si>
    <t>А2168</t>
  </si>
  <si>
    <t>(0904) Врачебный проезд д.3</t>
  </si>
  <si>
    <t>Начальная цена 
 (без учета НДС), 
руб.</t>
  </si>
  <si>
    <t>А0167/1</t>
  </si>
  <si>
    <t>(0092) Кусковская 18Г</t>
  </si>
  <si>
    <t>А0193/1</t>
  </si>
  <si>
    <t>А0367/1</t>
  </si>
  <si>
    <t>А0425/1</t>
  </si>
  <si>
    <t>А0758/1</t>
  </si>
  <si>
    <t>А0771/1</t>
  </si>
  <si>
    <t>А0773/1</t>
  </si>
  <si>
    <t>А1325/1</t>
  </si>
  <si>
    <t>А1326/1</t>
  </si>
  <si>
    <t>А1388/1</t>
  </si>
  <si>
    <t>А1446/1</t>
  </si>
  <si>
    <t>А1580/1</t>
  </si>
  <si>
    <t>А1595/1</t>
  </si>
  <si>
    <t>А1622/1</t>
  </si>
  <si>
    <t>А0308+А0310</t>
  </si>
  <si>
    <t>А1621+А1633</t>
  </si>
  <si>
    <t>А2094+А2108</t>
  </si>
  <si>
    <t>А2109+А2121</t>
  </si>
  <si>
    <t>(0512) Сормовская ул., д. 17, корп. 5, стр.2</t>
  </si>
  <si>
    <t>Моющие средства</t>
  </si>
  <si>
    <t>Прокат из черных металлов</t>
  </si>
  <si>
    <t>Трубка ПВХ ТВ-40 4мм Г19034-82</t>
  </si>
  <si>
    <t>Подшипник 2317К ГОСТ 8328-75</t>
  </si>
  <si>
    <t>Клапан КО-3-Г11 6101</t>
  </si>
  <si>
    <t>Куртка зим.жен.р.120-124/170-</t>
  </si>
  <si>
    <t>Куртка зим.жен.р.128-132/182-</t>
  </si>
  <si>
    <t>Блок сигнализации положения т</t>
  </si>
  <si>
    <t>Куртка зим.жен.р.136-140/158-</t>
  </si>
  <si>
    <t>Блок сигнализации положения Б</t>
  </si>
  <si>
    <t>Комплект термопр. КТСП-Н 5.0.</t>
  </si>
  <si>
    <t>Горелка ГВ-111Р</t>
  </si>
  <si>
    <t>Кран шаровой Ду 300 мм кшп с</t>
  </si>
  <si>
    <t>Кран шаровой Ду 700 мм редуци</t>
  </si>
  <si>
    <t>Задвижка 30с 564нж Ду 300 мм</t>
  </si>
  <si>
    <t>Клапан VFG2 Ду20 Ру16 Kv6,3 0</t>
  </si>
  <si>
    <t>Куртка зим.жен.р.128-132/158-</t>
  </si>
  <si>
    <t>П/комбинез. зим.муж.см.р.128-</t>
  </si>
  <si>
    <t>Клапан ГРАНЛОК CVS16.05.065.16</t>
  </si>
  <si>
    <t>Трубка ПВХ ТВ-40 2мм Г19034-82</t>
  </si>
  <si>
    <t>Длительное открытое хранение</t>
  </si>
  <si>
    <t>Не рабочие</t>
  </si>
  <si>
    <t>Демонтированы с байпаса</t>
  </si>
  <si>
    <t>Неудовлетворительное</t>
  </si>
  <si>
    <t>ТИП-БП-20,220V,50 Hz; ТИП-БД-10М-4-20 мА</t>
  </si>
  <si>
    <t>ТИП-БП-10,220V,50 Hz; ТИП-БД-10М-4-20 мА</t>
  </si>
  <si>
    <t>А0913</t>
  </si>
  <si>
    <t>А0914</t>
  </si>
  <si>
    <t>Комплект термопр. КТСП-Н 5.0.03.00.4.3.3</t>
  </si>
  <si>
    <t>ИТОГО:</t>
  </si>
  <si>
    <t>А2169</t>
  </si>
  <si>
    <t>А2170</t>
  </si>
  <si>
    <t>А2171</t>
  </si>
  <si>
    <t>А2172</t>
  </si>
  <si>
    <t>А2174</t>
  </si>
  <si>
    <t>А2175</t>
  </si>
  <si>
    <t>А2176</t>
  </si>
  <si>
    <t>А2177</t>
  </si>
  <si>
    <t>А2178</t>
  </si>
  <si>
    <t>А2179</t>
  </si>
  <si>
    <t>А2180</t>
  </si>
  <si>
    <t>А2182</t>
  </si>
  <si>
    <t>А2183</t>
  </si>
  <si>
    <t>А2184</t>
  </si>
  <si>
    <t>А2186</t>
  </si>
  <si>
    <t>А2187</t>
  </si>
  <si>
    <t>Строительно-монтажное оборудование. Задвижки.</t>
  </si>
  <si>
    <t>(0109) 1-й Басманный пер., д. 6</t>
  </si>
  <si>
    <t>Клапаны</t>
  </si>
  <si>
    <t>По факту для ксислорода (а не для горючего газа)</t>
  </si>
  <si>
    <t>RU C-RU.АГ08.В.00336 от 18.02.2014</t>
  </si>
  <si>
    <t>В неактуальном корпоративном стиле</t>
  </si>
  <si>
    <t>Датчик-сигнализатор обледенения СО-1 15В</t>
  </si>
  <si>
    <t>М-150TA2(0-10кгс/см2)2G21AM5IM2B1К04</t>
  </si>
  <si>
    <t>Преобразователь ПД200-ДД2,0-155-0,1-2-Н</t>
  </si>
  <si>
    <t>Счётчик ПСЧ-4А.05.2 220/380 5(7,5)</t>
  </si>
  <si>
    <t>А0749</t>
  </si>
  <si>
    <t>А0691</t>
  </si>
  <si>
    <t>Паспорт ТЖИУ.406233.008ПС</t>
  </si>
  <si>
    <t>А0681</t>
  </si>
  <si>
    <t>А0376</t>
  </si>
  <si>
    <t>А0376/1</t>
  </si>
  <si>
    <t>А1021</t>
  </si>
  <si>
    <t>Текон DO16s-220DC</t>
  </si>
  <si>
    <t>А0765</t>
  </si>
  <si>
    <t>Паспорт ИВКА.426619.004 ПС</t>
  </si>
  <si>
    <t>А0394</t>
  </si>
  <si>
    <t>А0713</t>
  </si>
  <si>
    <t>А1041</t>
  </si>
  <si>
    <t>ТЖИУ.406423.005 0,4-1,6МПа</t>
  </si>
  <si>
    <t>А0871</t>
  </si>
  <si>
    <t>А0852</t>
  </si>
  <si>
    <t>А0993</t>
  </si>
  <si>
    <t>ДЕМ 202-1-02-1 с К1</t>
  </si>
  <si>
    <t>А2188</t>
  </si>
  <si>
    <t>Устройство поддержания давления и компенсации расширений</t>
  </si>
  <si>
    <t>(0517) Ставропольская ул. 27Б</t>
  </si>
  <si>
    <t>Паспорт № 31399, 106294, 106295, 106296, 106301, 112201, 112202</t>
  </si>
  <si>
    <t>Блок ThinkCentre M73 Lenovo 10B1A0R9RU</t>
  </si>
  <si>
    <t>ИБП Entel LPB-U30CS2-CH</t>
  </si>
  <si>
    <t>ИБП Entel SPB-U15BS2+D1-AK</t>
  </si>
  <si>
    <t>ИБП СКАТ-1200 исп.5</t>
  </si>
  <si>
    <t>Сервер RS140 Lenovo 70F8S01Y00</t>
  </si>
  <si>
    <t>Сервер RS140 Lenovo 70F8S02700</t>
  </si>
  <si>
    <t>Узел NSGO-IP3860 шкаф NSB-3860H1F2</t>
  </si>
  <si>
    <t>Щит силовой 380/220В BCC 2016-ВСС-4061</t>
  </si>
  <si>
    <t>Щит силовой 380/220В BCC 2016-ВСС-4062</t>
  </si>
  <si>
    <t>Щит силовой 380/220В ВСС 2015-ВСС-4335</t>
  </si>
  <si>
    <t>Щит силовой 380/220В ВСС 2015-ВСС-4336</t>
  </si>
  <si>
    <t xml:space="preserve">06.06.2016 </t>
  </si>
  <si>
    <t>13.06.2016</t>
  </si>
  <si>
    <t>02.11.2017</t>
  </si>
  <si>
    <t>06.06.2016</t>
  </si>
  <si>
    <t>Блок системный ThinkCentre M73 Lenovo 10B1A0R9RU</t>
  </si>
  <si>
    <t>Источник бесперебойного питания Entel LPB-U30CS2-CH</t>
  </si>
  <si>
    <t>Источник бесперебойного питания Entel SPB-U15BS2+D1-AK</t>
  </si>
  <si>
    <t>Источник вторичного электропитания резервированный СКАТ-1200 исп.5 ПО Бастион</t>
  </si>
  <si>
    <t>Сервер ThinkServer RS140 Lenovo 70F8S01Y00</t>
  </si>
  <si>
    <t>Сервер ThinkServer RS140 Lenovo 70F8S02700</t>
  </si>
  <si>
    <t>Узел доступа NSGO-IP3860 шкаф NSB-3860H1F2 с системой термостабилизации и грозозащиты NSGate</t>
  </si>
  <si>
    <t>Щит силовой групповой 380/220В BCC 2016-ВСС-4061</t>
  </si>
  <si>
    <t>Щит силовой групповой 380/220В BCC 2016-ВСС-4062</t>
  </si>
  <si>
    <t>Щит силовой групповой 380/220В ВСС 2015-ВСС-4335</t>
  </si>
  <si>
    <t>Щит силовой групповой 380/220В ВСС 2015-ВСС-4336</t>
  </si>
  <si>
    <t>Насос 1К-80-65-160-с У3.1 7,5/2900</t>
  </si>
  <si>
    <t>20.09.2017</t>
  </si>
  <si>
    <t>М-55-ДИ-515-МП-t1-050-1,0МПа-</t>
  </si>
  <si>
    <t>М-150CG1(+/-1,25кПа)2211L3AM5</t>
  </si>
  <si>
    <t>(0406) Щелковское ш., д.70А</t>
  </si>
  <si>
    <t>(0605) Кавказский бульвар, 62</t>
  </si>
  <si>
    <t>3.NV.1207-2003</t>
  </si>
  <si>
    <t>3.NV.1207-2004</t>
  </si>
  <si>
    <t>3.NV.1207-2005</t>
  </si>
  <si>
    <t>3.NV.1207-2006</t>
  </si>
  <si>
    <t>3.NV.1207-2007</t>
  </si>
  <si>
    <t>3.NV.1207-2008</t>
  </si>
  <si>
    <t>3.NV.1207-2009</t>
  </si>
  <si>
    <t>3.NV.1207-2010</t>
  </si>
  <si>
    <t>3.NV.1207-2011</t>
  </si>
  <si>
    <t>М-150CG1(+/-1,25кПа) 2211L3AM5D52B1С1K03</t>
  </si>
  <si>
    <t xml:space="preserve">Отсутствует Сертификат соответствия ТР ТС 019/2011. Не сертифицированные СИЗ применять запрещено (ст. 212, 221 ТК РФ). </t>
  </si>
  <si>
    <t>1-старый образец    
 1-новый образец (04.2015)      4-новый образец (12.2014)</t>
  </si>
  <si>
    <t>Турникет PERCo-TTR-07.1G</t>
  </si>
  <si>
    <t>102012852</t>
  </si>
  <si>
    <t>(0804) Бобруйская ул., д.19</t>
  </si>
  <si>
    <t>Техническая документация</t>
  </si>
  <si>
    <t xml:space="preserve">Насос центробежный консольный 1К-80-65-160-с У3.1 с электродвигателем 7,5кВт 2900об/мин </t>
  </si>
  <si>
    <t>А2190</t>
  </si>
  <si>
    <t>А2191</t>
  </si>
  <si>
    <t>А2192</t>
  </si>
  <si>
    <t>А2193</t>
  </si>
  <si>
    <t>А2194</t>
  </si>
  <si>
    <t>А2195</t>
  </si>
  <si>
    <t>А2196</t>
  </si>
  <si>
    <t>А2197</t>
  </si>
  <si>
    <t>А2198</t>
  </si>
  <si>
    <t>А2199</t>
  </si>
  <si>
    <t>А2200</t>
  </si>
  <si>
    <t>А2201</t>
  </si>
  <si>
    <t>А2205</t>
  </si>
  <si>
    <t>А2206</t>
  </si>
  <si>
    <t>А2204</t>
  </si>
  <si>
    <t>А2207</t>
  </si>
  <si>
    <t>А2208</t>
  </si>
  <si>
    <t>А2209</t>
  </si>
  <si>
    <t>А2210</t>
  </si>
  <si>
    <t>А2211</t>
  </si>
  <si>
    <t>А2212</t>
  </si>
  <si>
    <t>А2213</t>
  </si>
  <si>
    <t>А2214</t>
  </si>
  <si>
    <t>Турникет-трипод</t>
  </si>
  <si>
    <t>Серверное и компьютерное оборудование, ИБП</t>
  </si>
  <si>
    <t>Узлы учета тепловой энергии</t>
  </si>
  <si>
    <t>Шаг аукциона 10%, руб.</t>
  </si>
  <si>
    <t>Паспорт 21 от 10.2012, сертификат №РОСС RU,ХТ03,В00133 от 02.06.2008г</t>
  </si>
  <si>
    <t>Ду-25, влагостойкость -IР65, Р-0…0,4МРа, ТУ РБ 0570855402/-96. Изготовитель - Республика Беларусь</t>
  </si>
  <si>
    <t xml:space="preserve"> В заводской упаковке. Изготовитель - Бельгия</t>
  </si>
  <si>
    <t>Сертификат соответствия 
№ РОСС ВЕ.АЮ64.НО2939, 
срок действия: 10.12.2007-09.12.2010</t>
  </si>
  <si>
    <t>Шкафы электротехнические</t>
  </si>
  <si>
    <t>Труба безшовная</t>
  </si>
  <si>
    <t>Удоалетворительное</t>
  </si>
  <si>
    <t>Тип присоединения: фланец-гладкий конец; диаметр - 100 мм</t>
  </si>
  <si>
    <t xml:space="preserve">Диапазон измерений концентраций метана, % об. долей: 0-2,2
Диапазон измерений других горючих газов и паров, % НКПР: 0-100
Напряжение питания, В (в мостовой измерительной схеме): 2,8±0,2
Потребляемая мощность, Вт: 0,14±0,02
</t>
  </si>
  <si>
    <t xml:space="preserve">Термометр биметаллический целиком из нерж.стали, кл.1,5, корпус ф60мм, шток осевой 200х10мм с резьбой М20х1,5 </t>
  </si>
  <si>
    <t xml:space="preserve">Контролируемые среды: хладоны, воздух, масла и другие среды (вязкость не более 0,8 Па∙с), неагрессивные к медным сплавам, стали, фторопластам, серебряным припоям
</t>
  </si>
  <si>
    <t xml:space="preserve">Контролируемые среды: хладоны, воздух, масла и другие среды (вязкость не более 0,8 Па∙с), неагрессивные к медным сплавам, стали, фторопластам, серебряным припоям 
</t>
  </si>
  <si>
    <t xml:space="preserve"> ИТ-17С</t>
  </si>
  <si>
    <t>(0317) Проспект Мира, д. 177А, стр. 1</t>
  </si>
  <si>
    <t>(0317) Проспект Мира д.177А, стр.1</t>
  </si>
  <si>
    <t>(0402) Зверинецкая ул., д.33, стр.1</t>
  </si>
  <si>
    <t>(0409) Щелковское ш., д.70А, стр.1</t>
  </si>
  <si>
    <t>А1206/1</t>
  </si>
  <si>
    <t>(0317) Проспект Мира д.177А, стр1</t>
  </si>
  <si>
    <t>АГТ-71-25/16кв10</t>
  </si>
  <si>
    <t>Болт М22-6gх70.58 Г7798-70</t>
  </si>
  <si>
    <t>Бочонок Ду32 L=50мм</t>
  </si>
  <si>
    <t>Бочонок Ду40 L=50мм</t>
  </si>
  <si>
    <t>Вентиль KVN-100-III-KX Ду100 Ру16</t>
  </si>
  <si>
    <t>Винт оцинк. М4-6g.16.48.016 Г17473-80</t>
  </si>
  <si>
    <t>Задвижка 30с15нж Ду100 Ру40 газ. А</t>
  </si>
  <si>
    <t>Муфта 25 Г8954-75</t>
  </si>
  <si>
    <t>Муфта 32 Г8954-75</t>
  </si>
  <si>
    <t>Насос T - 65В/2 /7,5 кВт/</t>
  </si>
  <si>
    <t>Отвод 45-219х8-20 Г17375</t>
  </si>
  <si>
    <t>Отвод 45-57х5-20 Г17375</t>
  </si>
  <si>
    <t>Отвод 90-45х3,5-20 Г17375</t>
  </si>
  <si>
    <t>Отводы 325*8мм</t>
  </si>
  <si>
    <t>Пресс механический Р 2,5-5тн</t>
  </si>
  <si>
    <t>Регулятор Ду-50 21ч10нж</t>
  </si>
  <si>
    <t>Резьба Ду32 L50 Г3262-75</t>
  </si>
  <si>
    <t>Розетка PYF14A-N Omron</t>
  </si>
  <si>
    <t>Тройник 108х4-20 Г17376</t>
  </si>
  <si>
    <t>Тройник 219х10-159х8-20 Г17376</t>
  </si>
  <si>
    <t>Тройник 219х9-219х7-2,5 ТС-590-006</t>
  </si>
  <si>
    <t>Тройник 76х6-45х4-20 Г17376</t>
  </si>
  <si>
    <t>Тройник Ду-32</t>
  </si>
  <si>
    <t>Тройник ТП 100х100 Г6942.12-80</t>
  </si>
  <si>
    <t>Тройник ТП-100х100 Г6942-98</t>
  </si>
  <si>
    <t>Тройник ТП-50х50 Г6942-98</t>
  </si>
  <si>
    <t>Трубы стальные ВГП Ду 25х3.2мм</t>
  </si>
  <si>
    <t>Трубы стальные ВГП Ду 32х3.2мм</t>
  </si>
  <si>
    <t>Угольник Ду-025</t>
  </si>
  <si>
    <t>Угольник Ду-040</t>
  </si>
  <si>
    <t>Угольник Ду-050</t>
  </si>
  <si>
    <t>Цилиндр KK-ALC-18-30 Saint-Gobain Isover</t>
  </si>
  <si>
    <t>(0094) Кусковская ул., д. 18Г</t>
  </si>
  <si>
    <t>DIN-рейка 2000х35x15мм SE NSYSDR200</t>
  </si>
  <si>
    <t>PC-LPM-UTP-RJ45-RJ45-C6-0.5M-LSZH-WH</t>
  </si>
  <si>
    <t>PC-LPM-UTP-RJ45-RJ45-C6-1M-LSZH-GY</t>
  </si>
  <si>
    <t>PC-LPM-UTP-RJ45-RJ45-C6-20M-LSZH-GY</t>
  </si>
  <si>
    <t>PC-LPM-UTP-RJ45-RJ45-C6-2M-LSZH-GY</t>
  </si>
  <si>
    <t>PC-LPM-UTP-RJ45-RJ45-C6-2M-LSZH-WH</t>
  </si>
  <si>
    <t>PC-LPM-UTP-RJ45-RJ45-C6-3M-LSZH-WH</t>
  </si>
  <si>
    <t>Адаптер FA-P11Z-DLC/DLC-N/WH-BL</t>
  </si>
  <si>
    <t>Анкер PFG LB 12-50 25шт/уп Sormat 77038</t>
  </si>
  <si>
    <t>Анкер S-KAK 6х40 150шт/уп Sormat 02100</t>
  </si>
  <si>
    <t>Ввод каб.мет. M32x1,5 Dк18-25 Lр8 Ferrol</t>
  </si>
  <si>
    <t>Ввод кабельный PG29 Экопласт 41029</t>
  </si>
  <si>
    <t>Ввод кабельный PG36 Экопласт 41036</t>
  </si>
  <si>
    <t>Ввод кабельный М42х1,5 ф23-34мм ЗЭТА</t>
  </si>
  <si>
    <t>Вставка-заглушка Hyperline KJ1-BL-WH</t>
  </si>
  <si>
    <t>Держатель д/трубы гофрир. Ду50 DKC 51050</t>
  </si>
  <si>
    <t>Держатель ф32 DKC 53346</t>
  </si>
  <si>
    <t>Держатель ф32 DKC 53359</t>
  </si>
  <si>
    <t>Дюбель расп. ус NAT 6х30 Sormat 75006</t>
  </si>
  <si>
    <t>Заглушка DLP 50х105 Legrand 10700</t>
  </si>
  <si>
    <t>Зажим DIN741 D=6мм М5 Goralmet</t>
  </si>
  <si>
    <t>Зажим OBO Betterman 5057930</t>
  </si>
  <si>
    <t>Зажим кабельный PG7 3-6,5мм IP68 DKC</t>
  </si>
  <si>
    <t>Зажим троса 6мм DKC CM623006</t>
  </si>
  <si>
    <t>Замок для ленты 130801-00332</t>
  </si>
  <si>
    <t>Извещатель ИО209-30 Фотон-18А</t>
  </si>
  <si>
    <t>Извещатель ИО329-4 Стекло-3</t>
  </si>
  <si>
    <t>Извещатель С2000-ИК исп.04</t>
  </si>
  <si>
    <t>Кабель Hyperline TGRD-CAB-80</t>
  </si>
  <si>
    <t>Кабель ВВГнг-LS 3х6(ож)-0,66</t>
  </si>
  <si>
    <t>Карта HID ISOProx II 1386LGGMN</t>
  </si>
  <si>
    <t>Колодка клеммная 4мм2 SE NSYTRV42</t>
  </si>
  <si>
    <t>Колодка клеммная 6мм2 SE NSYTRV62</t>
  </si>
  <si>
    <t>Колодка клеммная 6мм2 SE NSYTRV62BL</t>
  </si>
  <si>
    <t>Коммутатор Huawei S5700-28P-PWR-LI-AC</t>
  </si>
  <si>
    <t>Комплект Hyperline FO-FFSPS-60</t>
  </si>
  <si>
    <t>Коробка Mosaic Legrand 0 802 81</t>
  </si>
  <si>
    <t>Коробка монтажная CQR JB720/WH</t>
  </si>
  <si>
    <t>Коробка монтажная CQR JB730/WH</t>
  </si>
  <si>
    <t>Коробка монтажная Legrand 0 801 01</t>
  </si>
  <si>
    <t>Корпус розетки Hyperline SBB1-1-WH</t>
  </si>
  <si>
    <t>Кронштейн УН-Т 130801-01017</t>
  </si>
  <si>
    <t>Крышка Ostec КУСВРгц-200 УЛ 320725</t>
  </si>
  <si>
    <t>Крышка Ostec КУСПРгц-200 УЛ 320321</t>
  </si>
  <si>
    <t>Модуль Huawei SFP-GE-LX-SM1310</t>
  </si>
  <si>
    <t>Модуль Hyperline KJNE-8P8C-C6-90-BK</t>
  </si>
  <si>
    <t>Модуль SFG- L01-I NI3112-10-I</t>
  </si>
  <si>
    <t>Модуль батарейный Entel LPB-BR72V2+D2</t>
  </si>
  <si>
    <t>Набор крепёжный Hyperline CNS-M6-16</t>
  </si>
  <si>
    <t>Направляющие Entel OPC-RAIL8</t>
  </si>
  <si>
    <t>Организатор каб. Hyperline CM-1U-ML-COV</t>
  </si>
  <si>
    <t>Панель STK-RACKMNT-2955 ЦМО 30045001200</t>
  </si>
  <si>
    <t>Патч-корд 2м Panduit UTPSP2MY</t>
  </si>
  <si>
    <t>Патч-панель Hyperline PPWBL-12</t>
  </si>
  <si>
    <t>Перемычка NSYTRAL410GR</t>
  </si>
  <si>
    <t>Перемычка NSYTRAL610GR</t>
  </si>
  <si>
    <t>Пигтейл FPT-B9-9-LC/UR-1M-LSZH-WH</t>
  </si>
  <si>
    <t>Площадка 19х19 белый DKC 25467</t>
  </si>
  <si>
    <t>Подвес ПКТ 160 Fortisflex 57550</t>
  </si>
  <si>
    <t>Поручень 1425мм Perco-BH02 1-01</t>
  </si>
  <si>
    <t>Прибор С2000-4</t>
  </si>
  <si>
    <t>Разъём RJ-45 Panduit SP688-C</t>
  </si>
  <si>
    <t>Скоба OBO Bettermann 5057515</t>
  </si>
  <si>
    <t>Соединитель Ostec УСВРгц-200х80 УЛ</t>
  </si>
  <si>
    <t>Средство защиты Гроза М-150</t>
  </si>
  <si>
    <t>Суппорт Batibox Legrand 0 802 51</t>
  </si>
  <si>
    <t>Термостат NO Hyperline KL-TRS-OP-060</t>
  </si>
  <si>
    <t>Труба отож. Neptun IWS 15А</t>
  </si>
  <si>
    <t>Труба отож. Neptun IWS 20А</t>
  </si>
  <si>
    <t>Труба ПВХ зонд 40мм DKC 91940</t>
  </si>
  <si>
    <t>Узел УК-Н-01 130801-00841</t>
  </si>
  <si>
    <t>Фиксатор ФК101-01 DEKraft 32055DEK</t>
  </si>
  <si>
    <t>Шкаф Hyperline TTC-2268-GS-RAL9004</t>
  </si>
  <si>
    <t>Щит силовой 380/220В BCC 2015-BCC-4340</t>
  </si>
  <si>
    <t>Щит силовой 380/220В BCC 2015-ВСС-4341</t>
  </si>
  <si>
    <t>Щит силовой 380/220В BCC 2016-ВСС-4066</t>
  </si>
  <si>
    <t>Щит силовой 380/220В BCC 2016-ВСС-4067</t>
  </si>
  <si>
    <t>Элемент Металанг РКн-32</t>
  </si>
  <si>
    <t>(0306) Бескудниковский пр-д, д.7</t>
  </si>
  <si>
    <t>Инструкция на английском языке</t>
  </si>
  <si>
    <t>Инструкция по установке и эксплуатации, паспорт (№ партии 02, дата выпуска - июнь 2015 года)</t>
  </si>
  <si>
    <t>Инструкция по установке и эксплуатации, этикетка ЯЛКГ.425132.004 ЭТ, дата выпуска - июль 2008 года</t>
  </si>
  <si>
    <t>Вложение №59-1369-0</t>
  </si>
  <si>
    <t>Руководство по эксплуатации и свидетельство о приемке. Заводской № 6307567, дата выпуска - 19.02.2016</t>
  </si>
  <si>
    <t>Паспорт. Серийный № 83221606101370; сертификат № ТС RU C-RU.МЛ04.В.01111 от 14.05.2015 по 13.05.2020. Имеется руководство пользователя</t>
  </si>
  <si>
    <t>Паспорт ИДФУ.300450.012</t>
  </si>
  <si>
    <t>Блок розеток 19'' TLK-RS08P2-BK</t>
  </si>
  <si>
    <t>Ввод кабельный М32х1,5 ф14-25мм ЗЭТА</t>
  </si>
  <si>
    <t>Извещатель LX-802N</t>
  </si>
  <si>
    <t>Извещатель С2000-ИК исп.03</t>
  </si>
  <si>
    <t>Извещатель С2000-СМК исп.01</t>
  </si>
  <si>
    <t>Извещатель С2000-СТ исп.02</t>
  </si>
  <si>
    <t>Коммутатор NSGate 65LGG512</t>
  </si>
  <si>
    <t>Коробка КМ41212-01 UKO10-075-075-020-K01</t>
  </si>
  <si>
    <t>Модуль Huawei WM1P0CIKVM02</t>
  </si>
  <si>
    <t>Монитор 21,5'' E2223s Lenovo 60AFHAR1EU</t>
  </si>
  <si>
    <t>Накладка на стык д/кабель-канала 50х105</t>
  </si>
  <si>
    <t>Наконечник Тэзис SDT34</t>
  </si>
  <si>
    <t>Проводник OBO Bettermann 5019355</t>
  </si>
  <si>
    <t>Проводник OBO Bettermann 5021081</t>
  </si>
  <si>
    <t>Разделитель NSYTRAP22</t>
  </si>
  <si>
    <t>Сирена для турникета PERCo</t>
  </si>
  <si>
    <t>Стержень S1.5M34 17,2х1500 Тэзис 155490</t>
  </si>
  <si>
    <t>Считыватель Proxy-3А</t>
  </si>
  <si>
    <t>Считыватель Proxy-USB-MA</t>
  </si>
  <si>
    <t>Шкаф Hyperline TTC-4261-SR-RAL9004</t>
  </si>
  <si>
    <t>Щит силовой 380/220В BCC 2015-BCC-4035</t>
  </si>
  <si>
    <t>Блок питания 48Вт 48В 1А AD1048-48FS</t>
  </si>
  <si>
    <t>Коробка MBS 20.30.12 Провенто</t>
  </si>
  <si>
    <t>Устройство защиты линий NSGate CEVP4GEP</t>
  </si>
  <si>
    <t>Щит силовой 380/220В BCC 2015-ВСС-4329</t>
  </si>
  <si>
    <t>Щит силовой 380/220В BCC 2015-ВСС-4330</t>
  </si>
  <si>
    <t>Щит силовой 380/220В BCC 2016-ВСС-4079</t>
  </si>
  <si>
    <t>Щит силовой 380/220В BCC 2016-ВСС-4080</t>
  </si>
  <si>
    <t>(2008) ул. Нагатинская 12Б</t>
  </si>
  <si>
    <t>Паспорт  АЦДР.425513.008 ПС; свидетельство о приемке. Заводской № 2238, дата изготовления - 05.02.2016. Инструкция по монтажу</t>
  </si>
  <si>
    <t>Руководство по эксплуатации ГЛТР.425131.001 РЭ</t>
  </si>
  <si>
    <t>А2215</t>
  </si>
  <si>
    <t>А2217</t>
  </si>
  <si>
    <t>А2218</t>
  </si>
  <si>
    <t>А2219</t>
  </si>
  <si>
    <t>А2220</t>
  </si>
  <si>
    <t>А2221</t>
  </si>
  <si>
    <t>А2222</t>
  </si>
  <si>
    <t>А2223</t>
  </si>
  <si>
    <t>А2224</t>
  </si>
  <si>
    <t>А2225</t>
  </si>
  <si>
    <t>А2226</t>
  </si>
  <si>
    <t>А2227</t>
  </si>
  <si>
    <t>А2228</t>
  </si>
  <si>
    <t>А2229</t>
  </si>
  <si>
    <t>А2230</t>
  </si>
  <si>
    <t>А2231</t>
  </si>
  <si>
    <t>А2232</t>
  </si>
  <si>
    <t>А2233</t>
  </si>
  <si>
    <t>А2234</t>
  </si>
  <si>
    <t>А2235</t>
  </si>
  <si>
    <t>А2236</t>
  </si>
  <si>
    <t>А2237</t>
  </si>
  <si>
    <t>А2238</t>
  </si>
  <si>
    <t>А2239</t>
  </si>
  <si>
    <t>А2240</t>
  </si>
  <si>
    <t>А2241</t>
  </si>
  <si>
    <t>А2242</t>
  </si>
  <si>
    <t>А2243</t>
  </si>
  <si>
    <t>А2244</t>
  </si>
  <si>
    <t>А2245</t>
  </si>
  <si>
    <t>А2246</t>
  </si>
  <si>
    <t>А2247</t>
  </si>
  <si>
    <t>А2248</t>
  </si>
  <si>
    <t>А2249</t>
  </si>
  <si>
    <t>А2250</t>
  </si>
  <si>
    <t>А2251</t>
  </si>
  <si>
    <t>А2252</t>
  </si>
  <si>
    <t>А2253</t>
  </si>
  <si>
    <t>А2254</t>
  </si>
  <si>
    <t>А2255</t>
  </si>
  <si>
    <t>А2256</t>
  </si>
  <si>
    <t>А2257</t>
  </si>
  <si>
    <t>А2258</t>
  </si>
  <si>
    <t>А2259</t>
  </si>
  <si>
    <t>А2260</t>
  </si>
  <si>
    <t>А2261</t>
  </si>
  <si>
    <t>А2262</t>
  </si>
  <si>
    <t>А2263</t>
  </si>
  <si>
    <t>А2264</t>
  </si>
  <si>
    <t>А2265</t>
  </si>
  <si>
    <t>А2266</t>
  </si>
  <si>
    <t>А2267</t>
  </si>
  <si>
    <t>А2268</t>
  </si>
  <si>
    <t>А2269</t>
  </si>
  <si>
    <t>А2270</t>
  </si>
  <si>
    <t>А2271</t>
  </si>
  <si>
    <t>А2272</t>
  </si>
  <si>
    <t>А2273</t>
  </si>
  <si>
    <t>А2274</t>
  </si>
  <si>
    <t>А2275</t>
  </si>
  <si>
    <t>А2276</t>
  </si>
  <si>
    <t>А2277</t>
  </si>
  <si>
    <t>А2278</t>
  </si>
  <si>
    <t>А2279</t>
  </si>
  <si>
    <t>А2280</t>
  </si>
  <si>
    <t>А2281</t>
  </si>
  <si>
    <t>А2282</t>
  </si>
  <si>
    <t>А2283</t>
  </si>
  <si>
    <t>А2284</t>
  </si>
  <si>
    <t>А2285</t>
  </si>
  <si>
    <t>А2286</t>
  </si>
  <si>
    <t>А2287</t>
  </si>
  <si>
    <t>А2288</t>
  </si>
  <si>
    <t>А2289</t>
  </si>
  <si>
    <t>А2290</t>
  </si>
  <si>
    <t>А2291</t>
  </si>
  <si>
    <t>А2292</t>
  </si>
  <si>
    <t>А2293</t>
  </si>
  <si>
    <t>А2294</t>
  </si>
  <si>
    <t>А2295</t>
  </si>
  <si>
    <t>А2296</t>
  </si>
  <si>
    <t>А2297</t>
  </si>
  <si>
    <t>А2298</t>
  </si>
  <si>
    <t>А2299</t>
  </si>
  <si>
    <t>А2300</t>
  </si>
  <si>
    <t>А2301</t>
  </si>
  <si>
    <t>А2302</t>
  </si>
  <si>
    <t>А2303</t>
  </si>
  <si>
    <t>А2304</t>
  </si>
  <si>
    <t>А2305</t>
  </si>
  <si>
    <t>А2306</t>
  </si>
  <si>
    <t>А2307</t>
  </si>
  <si>
    <t>А2308</t>
  </si>
  <si>
    <t>А2309</t>
  </si>
  <si>
    <t>А2310</t>
  </si>
  <si>
    <t>А2311</t>
  </si>
  <si>
    <t>А2312</t>
  </si>
  <si>
    <t>А2313</t>
  </si>
  <si>
    <t>А2314</t>
  </si>
  <si>
    <t>А2315</t>
  </si>
  <si>
    <t>А2316</t>
  </si>
  <si>
    <t>А2317</t>
  </si>
  <si>
    <t>А2318</t>
  </si>
  <si>
    <t>А2319</t>
  </si>
  <si>
    <t>А2320</t>
  </si>
  <si>
    <t>А2321</t>
  </si>
  <si>
    <t>А2322</t>
  </si>
  <si>
    <t>А2323</t>
  </si>
  <si>
    <t>А2324</t>
  </si>
  <si>
    <t>А2325</t>
  </si>
  <si>
    <t>А2326</t>
  </si>
  <si>
    <t>А2327</t>
  </si>
  <si>
    <t>А2328</t>
  </si>
  <si>
    <t>А2329</t>
  </si>
  <si>
    <t>А2330</t>
  </si>
  <si>
    <t>А2331</t>
  </si>
  <si>
    <t>А2337</t>
  </si>
  <si>
    <t>А2339</t>
  </si>
  <si>
    <t>А2332</t>
  </si>
  <si>
    <t>А2333</t>
  </si>
  <si>
    <t>А2334</t>
  </si>
  <si>
    <t>А2335</t>
  </si>
  <si>
    <t>А2336</t>
  </si>
  <si>
    <t>А2338</t>
  </si>
  <si>
    <t>А2340</t>
  </si>
  <si>
    <t>А2341</t>
  </si>
  <si>
    <t>А2342</t>
  </si>
  <si>
    <t>А2343</t>
  </si>
  <si>
    <t>А2344</t>
  </si>
  <si>
    <t>А2345</t>
  </si>
  <si>
    <t>А2346</t>
  </si>
  <si>
    <t>А2347</t>
  </si>
  <si>
    <t>А2348</t>
  </si>
  <si>
    <t>А2349</t>
  </si>
  <si>
    <t>А2350</t>
  </si>
  <si>
    <t>А2351</t>
  </si>
  <si>
    <t>А2352</t>
  </si>
  <si>
    <t>А2353</t>
  </si>
  <si>
    <t>А2354</t>
  </si>
  <si>
    <t>А2355</t>
  </si>
  <si>
    <t>А2356</t>
  </si>
  <si>
    <t>А2357</t>
  </si>
  <si>
    <t>А2358</t>
  </si>
  <si>
    <t>А2359</t>
  </si>
  <si>
    <t>А2360</t>
  </si>
  <si>
    <t>Оборудование для систем безопасности</t>
  </si>
  <si>
    <t>А2216</t>
  </si>
  <si>
    <t>Не эксплуатировалось</t>
  </si>
  <si>
    <t>Оборудование трубопроводное</t>
  </si>
  <si>
    <t>Оборудование  трубопроводное</t>
  </si>
  <si>
    <t>А2361</t>
  </si>
  <si>
    <t>А2362</t>
  </si>
  <si>
    <t>А2363</t>
  </si>
  <si>
    <t>А2364</t>
  </si>
  <si>
    <t>А2365</t>
  </si>
  <si>
    <t>А2366</t>
  </si>
  <si>
    <t>А2367</t>
  </si>
  <si>
    <t>А2368</t>
  </si>
  <si>
    <t>А2369</t>
  </si>
  <si>
    <t>А2370</t>
  </si>
  <si>
    <t>А2371</t>
  </si>
  <si>
    <t>А2372</t>
  </si>
  <si>
    <t>А2373</t>
  </si>
  <si>
    <t>А2374</t>
  </si>
  <si>
    <t>А2375</t>
  </si>
  <si>
    <t>А2376</t>
  </si>
  <si>
    <t>А2377</t>
  </si>
  <si>
    <t>А2378</t>
  </si>
  <si>
    <t>А2379</t>
  </si>
  <si>
    <t>А2380</t>
  </si>
  <si>
    <t>А2381</t>
  </si>
  <si>
    <t>А2382</t>
  </si>
  <si>
    <t>А2383</t>
  </si>
  <si>
    <t>А2384</t>
  </si>
  <si>
    <t>А2385</t>
  </si>
  <si>
    <t>А2386</t>
  </si>
  <si>
    <t>А2387</t>
  </si>
  <si>
    <t>А2388</t>
  </si>
  <si>
    <t>А2389</t>
  </si>
  <si>
    <t>А2390</t>
  </si>
  <si>
    <t>А2391</t>
  </si>
  <si>
    <t>А2392</t>
  </si>
  <si>
    <t>НДС 22%, 
руб.</t>
  </si>
  <si>
    <t>Начальная цена 
 (с учетом НДС 22%), 
руб.</t>
  </si>
  <si>
    <t>Шаровые краны</t>
  </si>
  <si>
    <r>
      <t>Свободный запас на 21.</t>
    </r>
    <r>
      <rPr>
        <b/>
        <sz val="11"/>
        <rFont val="Calibri"/>
        <family val="2"/>
        <charset val="204"/>
        <scheme val="minor"/>
      </rPr>
      <t>01.</t>
    </r>
    <r>
      <rPr>
        <b/>
        <sz val="11"/>
        <color theme="1"/>
        <rFont val="Calibri"/>
        <family val="2"/>
        <charset val="204"/>
        <scheme val="minor"/>
      </rPr>
      <t>2026</t>
    </r>
  </si>
  <si>
    <t xml:space="preserve">ПЕРЕЧЕНЬ невостребованного имущества ПАО «МОЭК»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</si>
</sst>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_-* #,##0.00\ _₽_-;\-* #,##0.00\ _₽_-;_-* &quot;-&quot;??\ _₽_-;_-@_-"/>
    <numFmt numFmtId="165" formatCode="0.000"/>
    <numFmt numFmtId="166" formatCode="[$-419]mmmm\ yyyy;@"/>
    <numFmt numFmtId="167" formatCode="_-* #,##0\ _₽_-;\-* #,##0\ _₽_-;_-* &quot;-&quot;??\ _₽_-;_-@_-"/>
    <numFmt numFmtId="168" formatCode="#,##0.000"/>
    <numFmt numFmtId="169" formatCode="_-* #,##0.00_р_._-;\-* #,##0.00_р_._-;_-* &quot;-&quot;??_р_._-;_-@_-"/>
    <numFmt numFmtId="170" formatCode="#,##0.0000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5"/>
      <color theme="3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1"/>
      <color indexed="8"/>
      <name val="Calibri"/>
      <family val="2"/>
      <charset val="1"/>
    </font>
    <font>
      <sz val="11"/>
      <color indexed="8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b/>
      <sz val="11"/>
      <color indexed="8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b/>
      <sz val="10"/>
      <color rgb="FF164194"/>
      <name val="Times New Roman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indexed="43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2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rgb="FF164194"/>
      </top>
      <bottom style="medium">
        <color rgb="FF164194"/>
      </bottom>
      <diagonal/>
    </border>
  </borders>
  <cellStyleXfs count="24">
    <xf numFmtId="0" fontId="0" fillId="0" borderId="0"/>
    <xf numFmtId="164" fontId="12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0" fontId="11" fillId="0" borderId="0"/>
    <xf numFmtId="0" fontId="17" fillId="0" borderId="2" applyNumberFormat="0" applyFill="0" applyAlignment="0" applyProtection="0"/>
    <xf numFmtId="0" fontId="12" fillId="0" borderId="0"/>
    <xf numFmtId="0" fontId="12" fillId="0" borderId="0"/>
    <xf numFmtId="0" fontId="10" fillId="3" borderId="0" applyNumberFormat="0" applyBorder="0" applyAlignment="0" applyProtection="0"/>
    <xf numFmtId="0" fontId="10" fillId="0" borderId="0"/>
    <xf numFmtId="0" fontId="9" fillId="0" borderId="0"/>
    <xf numFmtId="0" fontId="21" fillId="0" borderId="0"/>
    <xf numFmtId="0" fontId="22" fillId="4" borderId="0"/>
    <xf numFmtId="0" fontId="23" fillId="0" borderId="5"/>
    <xf numFmtId="0" fontId="26" fillId="0" borderId="0"/>
    <xf numFmtId="0" fontId="8" fillId="0" borderId="0"/>
    <xf numFmtId="0" fontId="27" fillId="0" borderId="0"/>
    <xf numFmtId="0" fontId="8" fillId="0" borderId="0"/>
    <xf numFmtId="169" fontId="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12" fillId="0" borderId="0"/>
    <xf numFmtId="0" fontId="44" fillId="0" borderId="14" applyNumberFormat="0" applyProtection="0">
      <alignment horizontal="center" vertical="center" wrapText="1"/>
    </xf>
    <xf numFmtId="0" fontId="43" fillId="0" borderId="0">
      <alignment vertical="center"/>
    </xf>
  </cellStyleXfs>
  <cellXfs count="307">
    <xf numFmtId="0" fontId="0" fillId="0" borderId="0" xfId="0"/>
    <xf numFmtId="0" fontId="13" fillId="2" borderId="1" xfId="0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/>
    </xf>
    <xf numFmtId="14" fontId="14" fillId="0" borderId="1" xfId="0" applyNumberFormat="1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center" vertical="center"/>
    </xf>
    <xf numFmtId="0" fontId="18" fillId="0" borderId="1" xfId="5" applyFont="1" applyFill="1" applyBorder="1" applyAlignment="1">
      <alignment horizontal="left" vertical="center" wrapText="1"/>
    </xf>
    <xf numFmtId="14" fontId="14" fillId="0" borderId="1" xfId="0" applyNumberFormat="1" applyFont="1" applyBorder="1" applyAlignment="1">
      <alignment horizontal="center" vertical="top"/>
    </xf>
    <xf numFmtId="0" fontId="16" fillId="0" borderId="1" xfId="0" applyFont="1" applyBorder="1" applyAlignment="1">
      <alignment horizontal="left" vertical="center" wrapText="1"/>
    </xf>
    <xf numFmtId="165" fontId="16" fillId="0" borderId="1" xfId="0" applyNumberFormat="1" applyFont="1" applyBorder="1" applyAlignment="1">
      <alignment horizontal="center" vertical="center"/>
    </xf>
    <xf numFmtId="165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49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vertical="center"/>
    </xf>
    <xf numFmtId="14" fontId="15" fillId="0" borderId="1" xfId="4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4" fillId="0" borderId="1" xfId="7" applyFont="1" applyBorder="1" applyAlignment="1">
      <alignment horizontal="left" vertical="center" wrapText="1"/>
    </xf>
    <xf numFmtId="165" fontId="14" fillId="0" borderId="1" xfId="7" applyNumberFormat="1" applyFont="1" applyBorder="1" applyAlignment="1">
      <alignment horizontal="center" vertical="center" wrapText="1"/>
    </xf>
    <xf numFmtId="0" fontId="14" fillId="0" borderId="1" xfId="8" applyFont="1" applyFill="1" applyBorder="1" applyAlignment="1">
      <alignment horizontal="center" vertical="center" wrapText="1"/>
    </xf>
    <xf numFmtId="0" fontId="14" fillId="0" borderId="1" xfId="8" applyFont="1" applyFill="1" applyBorder="1" applyAlignment="1">
      <alignment horizontal="left" vertical="center" wrapText="1"/>
    </xf>
    <xf numFmtId="14" fontId="14" fillId="0" borderId="1" xfId="8" applyNumberFormat="1" applyFont="1" applyFill="1" applyBorder="1" applyAlignment="1">
      <alignment horizontal="center" vertical="center" wrapText="1"/>
    </xf>
    <xf numFmtId="0" fontId="16" fillId="0" borderId="1" xfId="9" applyFont="1" applyBorder="1" applyAlignment="1">
      <alignment horizontal="center" vertical="center"/>
    </xf>
    <xf numFmtId="0" fontId="18" fillId="0" borderId="1" xfId="5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6" applyFont="1" applyBorder="1" applyAlignment="1">
      <alignment horizontal="center" vertical="center" wrapText="1"/>
    </xf>
    <xf numFmtId="0" fontId="15" fillId="0" borderId="1" xfId="4" applyFont="1" applyBorder="1" applyAlignment="1">
      <alignment horizontal="center" vertical="center" wrapText="1"/>
    </xf>
    <xf numFmtId="14" fontId="14" fillId="0" borderId="1" xfId="6" applyNumberFormat="1" applyFont="1" applyBorder="1" applyAlignment="1">
      <alignment horizontal="center" vertical="center" wrapText="1"/>
    </xf>
    <xf numFmtId="165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66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vertical="center"/>
    </xf>
    <xf numFmtId="14" fontId="16" fillId="0" borderId="1" xfId="0" applyNumberFormat="1" applyFont="1" applyBorder="1" applyAlignment="1">
      <alignment horizontal="center" vertical="center" wrapText="1"/>
    </xf>
    <xf numFmtId="14" fontId="18" fillId="0" borderId="1" xfId="5" applyNumberFormat="1" applyFont="1" applyFill="1" applyBorder="1" applyAlignment="1">
      <alignment horizontal="center" vertical="center" wrapText="1"/>
    </xf>
    <xf numFmtId="0" fontId="18" fillId="0" borderId="1" xfId="5" applyNumberFormat="1" applyFont="1" applyFill="1" applyBorder="1" applyAlignment="1">
      <alignment horizontal="center" vertical="center" wrapText="1"/>
    </xf>
    <xf numFmtId="14" fontId="14" fillId="0" borderId="1" xfId="2" applyNumberFormat="1" applyFont="1" applyBorder="1" applyAlignment="1">
      <alignment horizontal="center" vertical="center"/>
    </xf>
    <xf numFmtId="0" fontId="16" fillId="0" borderId="1" xfId="9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164" fontId="13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18" fillId="0" borderId="1" xfId="0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center" vertical="center"/>
    </xf>
    <xf numFmtId="49" fontId="14" fillId="0" borderId="1" xfId="6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4" fontId="18" fillId="0" borderId="1" xfId="0" applyNumberFormat="1" applyFont="1" applyBorder="1" applyAlignment="1">
      <alignment horizontal="center" vertical="center" wrapText="1"/>
    </xf>
    <xf numFmtId="165" fontId="18" fillId="0" borderId="1" xfId="0" applyNumberFormat="1" applyFont="1" applyBorder="1" applyAlignment="1">
      <alignment horizontal="center" vertical="center"/>
    </xf>
    <xf numFmtId="14" fontId="14" fillId="0" borderId="1" xfId="8" applyNumberFormat="1" applyFont="1" applyFill="1" applyBorder="1" applyAlignment="1">
      <alignment horizontal="center" vertical="center"/>
    </xf>
    <xf numFmtId="1" fontId="14" fillId="0" borderId="1" xfId="0" applyNumberFormat="1" applyFont="1" applyBorder="1" applyAlignment="1">
      <alignment horizontal="left" vertical="center" wrapText="1"/>
    </xf>
    <xf numFmtId="1" fontId="16" fillId="0" borderId="1" xfId="0" applyNumberFormat="1" applyFont="1" applyBorder="1" applyAlignment="1">
      <alignment horizontal="left" vertical="center"/>
    </xf>
    <xf numFmtId="1" fontId="15" fillId="0" borderId="1" xfId="0" applyNumberFormat="1" applyFont="1" applyBorder="1" applyAlignment="1">
      <alignment horizontal="left" vertical="center"/>
    </xf>
    <xf numFmtId="1" fontId="14" fillId="0" borderId="1" xfId="6" applyNumberFormat="1" applyFont="1" applyBorder="1" applyAlignment="1">
      <alignment horizontal="left" vertical="center" wrapText="1"/>
    </xf>
    <xf numFmtId="165" fontId="14" fillId="0" borderId="1" xfId="0" applyNumberFormat="1" applyFont="1" applyBorder="1" applyAlignment="1">
      <alignment horizontal="center" vertical="top"/>
    </xf>
    <xf numFmtId="0" fontId="14" fillId="0" borderId="1" xfId="0" applyFont="1" applyBorder="1" applyAlignment="1">
      <alignment horizontal="center" vertical="top"/>
    </xf>
    <xf numFmtId="14" fontId="18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67" fontId="14" fillId="0" borderId="1" xfId="1" applyNumberFormat="1" applyFont="1" applyFill="1" applyBorder="1" applyAlignment="1">
      <alignment horizontal="center" vertical="center"/>
    </xf>
    <xf numFmtId="168" fontId="14" fillId="0" borderId="1" xfId="0" applyNumberFormat="1" applyFont="1" applyBorder="1" applyAlignment="1">
      <alignment horizontal="center" vertical="top"/>
    </xf>
    <xf numFmtId="1" fontId="18" fillId="0" borderId="1" xfId="5" applyNumberFormat="1" applyFont="1" applyFill="1" applyBorder="1" applyAlignment="1">
      <alignment horizontal="left" vertical="center" wrapText="1"/>
    </xf>
    <xf numFmtId="1" fontId="14" fillId="0" borderId="1" xfId="8" applyNumberFormat="1" applyFont="1" applyFill="1" applyBorder="1" applyAlignment="1">
      <alignment horizontal="left" vertical="center" wrapText="1"/>
    </xf>
    <xf numFmtId="1" fontId="18" fillId="0" borderId="1" xfId="8" applyNumberFormat="1" applyFont="1" applyFill="1" applyBorder="1" applyAlignment="1">
      <alignment horizontal="left" vertical="center" wrapText="1"/>
    </xf>
    <xf numFmtId="1" fontId="14" fillId="0" borderId="1" xfId="8" applyNumberFormat="1" applyFont="1" applyFill="1" applyBorder="1" applyAlignment="1">
      <alignment horizontal="left" vertical="center"/>
    </xf>
    <xf numFmtId="0" fontId="18" fillId="0" borderId="1" xfId="5" applyFont="1" applyFill="1" applyBorder="1" applyAlignment="1">
      <alignment vertical="center" wrapText="1"/>
    </xf>
    <xf numFmtId="49" fontId="14" fillId="0" borderId="1" xfId="0" applyNumberFormat="1" applyFont="1" applyBorder="1" applyAlignment="1">
      <alignment horizontal="left" vertical="center"/>
    </xf>
    <xf numFmtId="1" fontId="18" fillId="0" borderId="1" xfId="0" applyNumberFormat="1" applyFont="1" applyBorder="1" applyAlignment="1">
      <alignment horizontal="left" vertical="center"/>
    </xf>
    <xf numFmtId="4" fontId="14" fillId="0" borderId="1" xfId="0" applyNumberFormat="1" applyFont="1" applyBorder="1" applyAlignment="1">
      <alignment horizontal="right" vertical="center"/>
    </xf>
    <xf numFmtId="4" fontId="14" fillId="0" borderId="4" xfId="0" applyNumberFormat="1" applyFont="1" applyBorder="1" applyAlignment="1">
      <alignment horizontal="right" vertical="center"/>
    </xf>
    <xf numFmtId="0" fontId="14" fillId="0" borderId="1" xfId="8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4" fontId="13" fillId="2" borderId="1" xfId="0" applyNumberFormat="1" applyFont="1" applyFill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4" fontId="15" fillId="0" borderId="4" xfId="0" applyNumberFormat="1" applyFont="1" applyBorder="1" applyAlignment="1">
      <alignment horizontal="right" vertical="center" wrapText="1"/>
    </xf>
    <xf numFmtId="4" fontId="14" fillId="0" borderId="4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4" fontId="25" fillId="0" borderId="1" xfId="0" applyNumberFormat="1" applyFont="1" applyBorder="1" applyAlignment="1">
      <alignment horizontal="right" vertical="center"/>
    </xf>
    <xf numFmtId="4" fontId="15" fillId="0" borderId="1" xfId="4" applyNumberFormat="1" applyFont="1" applyBorder="1" applyAlignment="1">
      <alignment horizontal="right" vertical="center" wrapText="1"/>
    </xf>
    <xf numFmtId="4" fontId="14" fillId="0" borderId="6" xfId="0" applyNumberFormat="1" applyFont="1" applyBorder="1" applyAlignment="1">
      <alignment horizontal="right" vertical="center" wrapText="1"/>
    </xf>
    <xf numFmtId="4" fontId="15" fillId="0" borderId="6" xfId="0" applyNumberFormat="1" applyFont="1" applyBorder="1" applyAlignment="1">
      <alignment horizontal="right" vertical="center" wrapText="1"/>
    </xf>
    <xf numFmtId="4" fontId="14" fillId="0" borderId="9" xfId="0" applyNumberFormat="1" applyFont="1" applyBorder="1" applyAlignment="1">
      <alignment horizontal="right" vertical="center"/>
    </xf>
    <xf numFmtId="4" fontId="15" fillId="0" borderId="4" xfId="0" applyNumberFormat="1" applyFont="1" applyBorder="1" applyAlignment="1">
      <alignment vertical="center" wrapText="1"/>
    </xf>
    <xf numFmtId="4" fontId="14" fillId="0" borderId="1" xfId="0" applyNumberFormat="1" applyFont="1" applyBorder="1" applyAlignment="1">
      <alignment vertical="center"/>
    </xf>
    <xf numFmtId="4" fontId="14" fillId="0" borderId="1" xfId="0" applyNumberFormat="1" applyFont="1" applyBorder="1" applyAlignment="1">
      <alignment vertical="center" wrapText="1"/>
    </xf>
    <xf numFmtId="4" fontId="15" fillId="0" borderId="1" xfId="0" applyNumberFormat="1" applyFont="1" applyBorder="1" applyAlignment="1">
      <alignment vertical="center" wrapText="1"/>
    </xf>
    <xf numFmtId="165" fontId="14" fillId="0" borderId="1" xfId="8" applyNumberFormat="1" applyFont="1" applyFill="1" applyBorder="1" applyAlignment="1">
      <alignment horizontal="center" vertical="center"/>
    </xf>
    <xf numFmtId="165" fontId="18" fillId="0" borderId="1" xfId="5" applyNumberFormat="1" applyFont="1" applyFill="1" applyBorder="1" applyAlignment="1">
      <alignment horizontal="center" vertical="center" wrapText="1"/>
    </xf>
    <xf numFmtId="165" fontId="14" fillId="0" borderId="1" xfId="8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4" fontId="14" fillId="0" borderId="6" xfId="0" applyNumberFormat="1" applyFont="1" applyBorder="1" applyAlignment="1">
      <alignment horizontal="right" vertical="center"/>
    </xf>
    <xf numFmtId="0" fontId="14" fillId="0" borderId="0" xfId="0" applyFont="1" applyAlignment="1">
      <alignment vertical="center" wrapText="1"/>
    </xf>
    <xf numFmtId="4" fontId="14" fillId="0" borderId="4" xfId="0" applyNumberFormat="1" applyFont="1" applyBorder="1" applyAlignment="1">
      <alignment vertical="center" wrapText="1"/>
    </xf>
    <xf numFmtId="4" fontId="15" fillId="0" borderId="4" xfId="4" applyNumberFormat="1" applyFont="1" applyBorder="1" applyAlignment="1">
      <alignment horizontal="right" vertical="center" wrapText="1"/>
    </xf>
    <xf numFmtId="4" fontId="15" fillId="0" borderId="8" xfId="0" applyNumberFormat="1" applyFont="1" applyBorder="1" applyAlignment="1">
      <alignment horizontal="right" vertical="center" wrapText="1"/>
    </xf>
    <xf numFmtId="4" fontId="14" fillId="0" borderId="8" xfId="0" applyNumberFormat="1" applyFont="1" applyBorder="1" applyAlignment="1">
      <alignment horizontal="right" vertical="center"/>
    </xf>
    <xf numFmtId="4" fontId="14" fillId="0" borderId="9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24" fillId="0" borderId="1" xfId="0" applyFont="1" applyBorder="1" applyAlignment="1">
      <alignment horizontal="center" vertical="center"/>
    </xf>
    <xf numFmtId="0" fontId="18" fillId="0" borderId="6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4" fontId="28" fillId="0" borderId="1" xfId="0" applyNumberFormat="1" applyFont="1" applyBorder="1" applyAlignment="1">
      <alignment horizontal="right" vertical="center" wrapText="1"/>
    </xf>
    <xf numFmtId="4" fontId="25" fillId="0" borderId="1" xfId="0" applyNumberFormat="1" applyFont="1" applyBorder="1" applyAlignment="1">
      <alignment horizontal="right" vertical="center" wrapText="1"/>
    </xf>
    <xf numFmtId="4" fontId="28" fillId="0" borderId="1" xfId="0" applyNumberFormat="1" applyFont="1" applyBorder="1" applyAlignment="1">
      <alignment vertical="center" wrapText="1"/>
    </xf>
    <xf numFmtId="4" fontId="25" fillId="0" borderId="1" xfId="0" applyNumberFormat="1" applyFont="1" applyBorder="1" applyAlignment="1">
      <alignment vertical="center" wrapText="1"/>
    </xf>
    <xf numFmtId="1" fontId="14" fillId="0" borderId="7" xfId="0" applyNumberFormat="1" applyFont="1" applyBorder="1" applyAlignment="1">
      <alignment horizontal="left" vertical="center"/>
    </xf>
    <xf numFmtId="0" fontId="0" fillId="0" borderId="1" xfId="0" applyBorder="1"/>
    <xf numFmtId="0" fontId="13" fillId="6" borderId="1" xfId="0" applyFont="1" applyFill="1" applyBorder="1" applyAlignment="1">
      <alignment horizontal="center" vertical="center" wrapText="1"/>
    </xf>
    <xf numFmtId="168" fontId="14" fillId="0" borderId="1" xfId="8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4" fillId="0" borderId="1" xfId="9" applyFont="1" applyBorder="1" applyAlignment="1">
      <alignment vertical="center" wrapText="1"/>
    </xf>
    <xf numFmtId="0" fontId="14" fillId="7" borderId="1" xfId="0" applyFont="1" applyFill="1" applyBorder="1" applyAlignment="1">
      <alignment vertical="center"/>
    </xf>
    <xf numFmtId="0" fontId="14" fillId="0" borderId="6" xfId="0" applyFont="1" applyBorder="1" applyAlignment="1">
      <alignment horizontal="center" vertical="center" wrapText="1"/>
    </xf>
    <xf numFmtId="0" fontId="0" fillId="5" borderId="1" xfId="0" applyFill="1" applyBorder="1"/>
    <xf numFmtId="4" fontId="25" fillId="0" borderId="1" xfId="0" applyNumberFormat="1" applyFont="1" applyBorder="1"/>
    <xf numFmtId="4" fontId="14" fillId="7" borderId="1" xfId="0" applyNumberFormat="1" applyFont="1" applyFill="1" applyBorder="1" applyAlignment="1">
      <alignment horizontal="right" vertical="center"/>
    </xf>
    <xf numFmtId="4" fontId="14" fillId="0" borderId="1" xfId="0" applyNumberFormat="1" applyFont="1" applyBorder="1" applyAlignment="1">
      <alignment horizontal="right"/>
    </xf>
    <xf numFmtId="14" fontId="14" fillId="0" borderId="1" xfId="9" applyNumberFormat="1" applyFont="1" applyBorder="1" applyAlignment="1">
      <alignment horizontal="center" vertical="center" wrapText="1"/>
    </xf>
    <xf numFmtId="14" fontId="14" fillId="7" borderId="1" xfId="0" applyNumberFormat="1" applyFont="1" applyFill="1" applyBorder="1" applyAlignment="1">
      <alignment horizontal="center" vertical="center" wrapText="1"/>
    </xf>
    <xf numFmtId="14" fontId="14" fillId="0" borderId="6" xfId="9" applyNumberFormat="1" applyFont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left" vertical="center"/>
    </xf>
    <xf numFmtId="1" fontId="15" fillId="0" borderId="1" xfId="4" applyNumberFormat="1" applyFont="1" applyBorder="1" applyAlignment="1">
      <alignment horizontal="center" vertical="center" wrapText="1"/>
    </xf>
    <xf numFmtId="0" fontId="14" fillId="0" borderId="1" xfId="0" applyFont="1" applyBorder="1"/>
    <xf numFmtId="49" fontId="14" fillId="0" borderId="10" xfId="0" applyNumberFormat="1" applyFont="1" applyBorder="1"/>
    <xf numFmtId="49" fontId="14" fillId="0" borderId="3" xfId="0" applyNumberFormat="1" applyFont="1" applyBorder="1"/>
    <xf numFmtId="49" fontId="14" fillId="0" borderId="1" xfId="9" applyNumberFormat="1" applyFont="1" applyBorder="1" applyAlignment="1">
      <alignment horizontal="center" vertical="center" wrapText="1"/>
    </xf>
    <xf numFmtId="49" fontId="14" fillId="0" borderId="10" xfId="0" applyNumberFormat="1" applyFont="1" applyBorder="1" applyAlignment="1">
      <alignment horizontal="left" vertical="center"/>
    </xf>
    <xf numFmtId="4" fontId="0" fillId="0" borderId="0" xfId="0" applyNumberFormat="1"/>
    <xf numFmtId="4" fontId="14" fillId="0" borderId="1" xfId="0" applyNumberFormat="1" applyFont="1" applyBorder="1"/>
    <xf numFmtId="4" fontId="14" fillId="0" borderId="10" xfId="0" applyNumberFormat="1" applyFont="1" applyBorder="1"/>
    <xf numFmtId="4" fontId="14" fillId="0" borderId="6" xfId="0" applyNumberFormat="1" applyFont="1" applyBorder="1"/>
    <xf numFmtId="0" fontId="14" fillId="5" borderId="4" xfId="0" applyFont="1" applyFill="1" applyBorder="1" applyAlignment="1">
      <alignment horizontal="center" vertical="center"/>
    </xf>
    <xf numFmtId="4" fontId="14" fillId="0" borderId="10" xfId="0" applyNumberFormat="1" applyFont="1" applyBorder="1" applyAlignment="1">
      <alignment vertical="center"/>
    </xf>
    <xf numFmtId="4" fontId="14" fillId="0" borderId="10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165" fontId="24" fillId="0" borderId="1" xfId="0" applyNumberFormat="1" applyFont="1" applyBorder="1" applyAlignment="1">
      <alignment horizontal="center" vertical="center"/>
    </xf>
    <xf numFmtId="0" fontId="29" fillId="0" borderId="0" xfId="0" applyFont="1"/>
    <xf numFmtId="0" fontId="14" fillId="0" borderId="1" xfId="0" applyFont="1" applyBorder="1" applyAlignment="1">
      <alignment horizontal="left"/>
    </xf>
    <xf numFmtId="0" fontId="14" fillId="0" borderId="4" xfId="0" applyFont="1" applyBorder="1" applyAlignment="1">
      <alignment horizontal="left" vertical="center"/>
    </xf>
    <xf numFmtId="14" fontId="14" fillId="0" borderId="1" xfId="0" applyNumberFormat="1" applyFont="1" applyBorder="1" applyAlignment="1">
      <alignment horizontal="center"/>
    </xf>
    <xf numFmtId="165" fontId="14" fillId="0" borderId="1" xfId="0" applyNumberFormat="1" applyFont="1" applyBorder="1" applyAlignment="1">
      <alignment horizontal="center"/>
    </xf>
    <xf numFmtId="14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4" fontId="14" fillId="0" borderId="0" xfId="0" applyNumberFormat="1" applyFont="1" applyAlignment="1">
      <alignment horizontal="right" vertical="top"/>
    </xf>
    <xf numFmtId="168" fontId="14" fillId="0" borderId="1" xfId="0" applyNumberFormat="1" applyFont="1" applyBorder="1" applyAlignment="1">
      <alignment horizontal="center"/>
    </xf>
    <xf numFmtId="0" fontId="14" fillId="0" borderId="6" xfId="0" applyFont="1" applyBorder="1"/>
    <xf numFmtId="0" fontId="14" fillId="0" borderId="6" xfId="0" applyFont="1" applyBorder="1" applyAlignment="1">
      <alignment horizontal="left"/>
    </xf>
    <xf numFmtId="165" fontId="14" fillId="0" borderId="6" xfId="0" applyNumberFormat="1" applyFont="1" applyBorder="1" applyAlignment="1">
      <alignment horizontal="center"/>
    </xf>
    <xf numFmtId="4" fontId="14" fillId="0" borderId="6" xfId="0" applyNumberFormat="1" applyFont="1" applyBorder="1" applyAlignment="1">
      <alignment vertical="center"/>
    </xf>
    <xf numFmtId="4" fontId="14" fillId="0" borderId="3" xfId="0" applyNumberFormat="1" applyFont="1" applyBorder="1"/>
    <xf numFmtId="1" fontId="18" fillId="0" borderId="1" xfId="6" applyNumberFormat="1" applyFont="1" applyBorder="1" applyAlignment="1">
      <alignment horizontal="left" vertical="center" wrapText="1"/>
    </xf>
    <xf numFmtId="0" fontId="18" fillId="0" borderId="1" xfId="7" applyFont="1" applyBorder="1" applyAlignment="1">
      <alignment horizontal="left" vertical="center" wrapText="1"/>
    </xf>
    <xf numFmtId="165" fontId="18" fillId="0" borderId="1" xfId="7" applyNumberFormat="1" applyFont="1" applyBorder="1" applyAlignment="1">
      <alignment horizontal="center" vertical="center" wrapText="1"/>
    </xf>
    <xf numFmtId="14" fontId="18" fillId="0" borderId="1" xfId="6" applyNumberFormat="1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/>
    </xf>
    <xf numFmtId="4" fontId="18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vertical="center"/>
    </xf>
    <xf numFmtId="0" fontId="30" fillId="0" borderId="0" xfId="0" applyFont="1" applyAlignment="1">
      <alignment horizontal="right"/>
    </xf>
    <xf numFmtId="1" fontId="18" fillId="0" borderId="1" xfId="8" applyNumberFormat="1" applyFont="1" applyFill="1" applyBorder="1" applyAlignment="1">
      <alignment horizontal="left" vertical="center"/>
    </xf>
    <xf numFmtId="0" fontId="18" fillId="0" borderId="1" xfId="8" applyFont="1" applyFill="1" applyBorder="1" applyAlignment="1">
      <alignment horizontal="left" vertical="center" wrapText="1"/>
    </xf>
    <xf numFmtId="165" fontId="18" fillId="0" borderId="1" xfId="8" applyNumberFormat="1" applyFont="1" applyFill="1" applyBorder="1" applyAlignment="1">
      <alignment horizontal="center" vertical="center"/>
    </xf>
    <xf numFmtId="14" fontId="18" fillId="0" borderId="1" xfId="8" applyNumberFormat="1" applyFont="1" applyFill="1" applyBorder="1" applyAlignment="1">
      <alignment horizontal="center" vertical="center"/>
    </xf>
    <xf numFmtId="14" fontId="18" fillId="0" borderId="1" xfId="8" applyNumberFormat="1" applyFont="1" applyFill="1" applyBorder="1" applyAlignment="1">
      <alignment horizontal="center" vertical="center" wrapText="1"/>
    </xf>
    <xf numFmtId="0" fontId="18" fillId="0" borderId="1" xfId="8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/>
    </xf>
    <xf numFmtId="0" fontId="14" fillId="0" borderId="4" xfId="0" applyFont="1" applyBorder="1" applyAlignment="1">
      <alignment horizontal="left"/>
    </xf>
    <xf numFmtId="165" fontId="14" fillId="0" borderId="4" xfId="0" applyNumberFormat="1" applyFont="1" applyBorder="1" applyAlignment="1">
      <alignment horizontal="center"/>
    </xf>
    <xf numFmtId="4" fontId="14" fillId="0" borderId="4" xfId="0" applyNumberFormat="1" applyFont="1" applyBorder="1" applyAlignment="1">
      <alignment vertical="center"/>
    </xf>
    <xf numFmtId="4" fontId="14" fillId="0" borderId="13" xfId="0" applyNumberFormat="1" applyFont="1" applyBorder="1"/>
    <xf numFmtId="0" fontId="14" fillId="0" borderId="4" xfId="0" applyFont="1" applyBorder="1" applyAlignment="1">
      <alignment horizontal="center"/>
    </xf>
    <xf numFmtId="4" fontId="14" fillId="0" borderId="4" xfId="0" applyNumberFormat="1" applyFont="1" applyBorder="1"/>
    <xf numFmtId="0" fontId="14" fillId="0" borderId="4" xfId="0" applyFont="1" applyBorder="1" applyAlignment="1">
      <alignment vertical="center"/>
    </xf>
    <xf numFmtId="0" fontId="14" fillId="0" borderId="1" xfId="0" applyFont="1" applyBorder="1" applyAlignment="1">
      <alignment horizontal="center" wrapText="1"/>
    </xf>
    <xf numFmtId="0" fontId="14" fillId="0" borderId="4" xfId="0" applyFont="1" applyBorder="1" applyAlignment="1">
      <alignment horizontal="center" vertical="center" wrapText="1"/>
    </xf>
    <xf numFmtId="165" fontId="14" fillId="0" borderId="6" xfId="0" applyNumberFormat="1" applyFont="1" applyBorder="1" applyAlignment="1">
      <alignment horizontal="center" vertical="center"/>
    </xf>
    <xf numFmtId="49" fontId="14" fillId="0" borderId="6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vertical="center" wrapText="1"/>
    </xf>
    <xf numFmtId="14" fontId="14" fillId="0" borderId="6" xfId="0" applyNumberFormat="1" applyFont="1" applyBorder="1" applyAlignment="1">
      <alignment horizontal="center" vertical="center" wrapText="1"/>
    </xf>
    <xf numFmtId="14" fontId="14" fillId="0" borderId="6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49" fontId="15" fillId="0" borderId="4" xfId="0" applyNumberFormat="1" applyFont="1" applyBorder="1" applyAlignment="1">
      <alignment horizontal="left" vertical="center" wrapText="1"/>
    </xf>
    <xf numFmtId="14" fontId="14" fillId="0" borderId="4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168" fontId="15" fillId="0" borderId="4" xfId="0" applyNumberFormat="1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1" fontId="18" fillId="0" borderId="4" xfId="6" applyNumberFormat="1" applyFont="1" applyBorder="1" applyAlignment="1">
      <alignment horizontal="left" vertical="center" wrapText="1"/>
    </xf>
    <xf numFmtId="0" fontId="18" fillId="0" borderId="4" xfId="7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/>
    </xf>
    <xf numFmtId="49" fontId="18" fillId="0" borderId="1" xfId="6" applyNumberFormat="1" applyFont="1" applyBorder="1" applyAlignment="1">
      <alignment horizontal="center" vertical="center" wrapText="1"/>
    </xf>
    <xf numFmtId="0" fontId="18" fillId="0" borderId="1" xfId="6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" fontId="32" fillId="0" borderId="1" xfId="0" applyNumberFormat="1" applyFont="1" applyBorder="1" applyAlignment="1">
      <alignment horizontal="right" vertical="center" wrapText="1"/>
    </xf>
    <xf numFmtId="4" fontId="32" fillId="0" borderId="1" xfId="0" applyNumberFormat="1" applyFont="1" applyBorder="1"/>
    <xf numFmtId="4" fontId="32" fillId="0" borderId="1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right" vertical="center"/>
    </xf>
    <xf numFmtId="4" fontId="14" fillId="0" borderId="3" xfId="0" applyNumberFormat="1" applyFont="1" applyBorder="1" applyAlignment="1">
      <alignment vertical="center"/>
    </xf>
    <xf numFmtId="49" fontId="33" fillId="0" borderId="1" xfId="0" applyNumberFormat="1" applyFont="1" applyBorder="1" applyAlignment="1">
      <alignment horizontal="center" vertical="center" wrapText="1"/>
    </xf>
    <xf numFmtId="0" fontId="14" fillId="0" borderId="1" xfId="2" applyFont="1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14" fontId="36" fillId="0" borderId="1" xfId="0" applyNumberFormat="1" applyFont="1" applyBorder="1" applyAlignment="1">
      <alignment horizontal="center" vertical="center"/>
    </xf>
    <xf numFmtId="0" fontId="35" fillId="0" borderId="1" xfId="2" applyFont="1" applyBorder="1" applyAlignment="1">
      <alignment horizontal="center" vertical="center" wrapText="1"/>
    </xf>
    <xf numFmtId="0" fontId="14" fillId="0" borderId="6" xfId="0" applyFont="1" applyBorder="1" applyAlignment="1">
      <alignment vertical="center"/>
    </xf>
    <xf numFmtId="0" fontId="14" fillId="0" borderId="6" xfId="0" applyFont="1" applyBorder="1" applyAlignment="1">
      <alignment horizontal="left" vertical="center"/>
    </xf>
    <xf numFmtId="49" fontId="3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4" fillId="0" borderId="1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24" fillId="0" borderId="0" xfId="0" applyNumberFormat="1" applyFont="1"/>
    <xf numFmtId="0" fontId="14" fillId="0" borderId="7" xfId="0" applyFont="1" applyBorder="1" applyAlignment="1">
      <alignment horizontal="center" vertical="center"/>
    </xf>
    <xf numFmtId="170" fontId="24" fillId="0" borderId="0" xfId="0" applyNumberFormat="1" applyFont="1" applyAlignment="1">
      <alignment horizontal="right" vertical="center"/>
    </xf>
    <xf numFmtId="0" fontId="34" fillId="0" borderId="1" xfId="0" applyFont="1" applyBorder="1" applyAlignment="1">
      <alignment horizontal="center" vertical="center" wrapText="1"/>
    </xf>
    <xf numFmtId="49" fontId="35" fillId="7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14" fillId="0" borderId="1" xfId="9" applyFont="1" applyBorder="1" applyAlignment="1">
      <alignment horizontal="left" vertical="center" wrapText="1"/>
    </xf>
    <xf numFmtId="0" fontId="14" fillId="0" borderId="6" xfId="9" applyFont="1" applyBorder="1" applyAlignment="1">
      <alignment horizontal="left" vertical="center" wrapText="1"/>
    </xf>
    <xf numFmtId="4" fontId="24" fillId="0" borderId="1" xfId="0" applyNumberFormat="1" applyFont="1" applyBorder="1"/>
    <xf numFmtId="0" fontId="4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/>
    </xf>
    <xf numFmtId="14" fontId="33" fillId="0" borderId="1" xfId="0" applyNumberFormat="1" applyFont="1" applyBorder="1"/>
    <xf numFmtId="0" fontId="3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/>
    </xf>
    <xf numFmtId="168" fontId="1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" fontId="31" fillId="5" borderId="1" xfId="0" applyNumberFormat="1" applyFont="1" applyFill="1" applyBorder="1"/>
    <xf numFmtId="0" fontId="42" fillId="0" borderId="1" xfId="0" applyFont="1" applyBorder="1" applyAlignment="1">
      <alignment horizontal="center" vertical="center"/>
    </xf>
    <xf numFmtId="4" fontId="32" fillId="0" borderId="1" xfId="0" applyNumberFormat="1" applyFont="1" applyFill="1" applyBorder="1" applyAlignment="1">
      <alignment horizontal="right" vertical="center"/>
    </xf>
    <xf numFmtId="4" fontId="15" fillId="0" borderId="1" xfId="0" applyNumberFormat="1" applyFont="1" applyFill="1" applyBorder="1" applyAlignment="1">
      <alignment horizontal="right" vertical="center" wrapText="1"/>
    </xf>
    <xf numFmtId="0" fontId="14" fillId="0" borderId="1" xfId="19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168" fontId="14" fillId="0" borderId="1" xfId="19" applyNumberFormat="1" applyFont="1" applyFill="1" applyBorder="1" applyAlignment="1">
      <alignment horizontal="center" vertical="center"/>
    </xf>
    <xf numFmtId="0" fontId="14" fillId="0" borderId="1" xfId="19" applyFont="1" applyFill="1" applyBorder="1" applyAlignment="1">
      <alignment horizontal="center" vertical="center"/>
    </xf>
    <xf numFmtId="14" fontId="1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64" fontId="14" fillId="0" borderId="1" xfId="1" applyFont="1" applyFill="1" applyBorder="1" applyAlignment="1">
      <alignment horizontal="center" vertical="center"/>
    </xf>
    <xf numFmtId="4" fontId="14" fillId="0" borderId="1" xfId="0" applyNumberFormat="1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left" vertical="center"/>
    </xf>
    <xf numFmtId="168" fontId="1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14" fontId="14" fillId="0" borderId="1" xfId="0" applyNumberFormat="1" applyFont="1" applyFill="1" applyBorder="1" applyAlignment="1">
      <alignment horizontal="center" vertical="center" wrapText="1"/>
    </xf>
    <xf numFmtId="4" fontId="18" fillId="0" borderId="1" xfId="0" applyNumberFormat="1" applyFont="1" applyFill="1" applyBorder="1" applyAlignment="1">
      <alignment horizontal="right" vertical="center"/>
    </xf>
    <xf numFmtId="0" fontId="14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left"/>
    </xf>
    <xf numFmtId="14" fontId="14" fillId="0" borderId="1" xfId="0" applyNumberFormat="1" applyFont="1" applyFill="1" applyBorder="1" applyAlignment="1">
      <alignment vertical="center"/>
    </xf>
    <xf numFmtId="0" fontId="33" fillId="0" borderId="1" xfId="0" applyFont="1" applyFill="1" applyBorder="1" applyAlignment="1">
      <alignment vertical="center"/>
    </xf>
    <xf numFmtId="4" fontId="14" fillId="0" borderId="1" xfId="0" applyNumberFormat="1" applyFont="1" applyFill="1" applyBorder="1" applyAlignment="1">
      <alignment vertical="center"/>
    </xf>
    <xf numFmtId="4" fontId="25" fillId="0" borderId="1" xfId="0" applyNumberFormat="1" applyFont="1" applyFill="1" applyBorder="1" applyAlignment="1">
      <alignment vertical="center"/>
    </xf>
    <xf numFmtId="4" fontId="14" fillId="0" borderId="1" xfId="0" applyNumberFormat="1" applyFont="1" applyFill="1" applyBorder="1"/>
    <xf numFmtId="49" fontId="14" fillId="0" borderId="1" xfId="0" applyNumberFormat="1" applyFont="1" applyFill="1" applyBorder="1" applyAlignment="1">
      <alignment horizontal="left" vertical="center" wrapText="1"/>
    </xf>
    <xf numFmtId="0" fontId="14" fillId="0" borderId="1" xfId="19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4" fontId="25" fillId="0" borderId="0" xfId="0" applyNumberFormat="1" applyFont="1" applyBorder="1" applyAlignment="1">
      <alignment horizontal="right" vertical="center"/>
    </xf>
    <xf numFmtId="164" fontId="14" fillId="0" borderId="1" xfId="1" applyFont="1" applyFill="1" applyBorder="1" applyAlignment="1">
      <alignment horizontal="right" vertical="center"/>
    </xf>
    <xf numFmtId="4" fontId="31" fillId="0" borderId="1" xfId="0" applyNumberFormat="1" applyFont="1" applyBorder="1" applyAlignment="1">
      <alignment horizontal="right" vertical="center"/>
    </xf>
    <xf numFmtId="14" fontId="14" fillId="0" borderId="1" xfId="0" applyNumberFormat="1" applyFont="1" applyFill="1" applyBorder="1" applyAlignment="1">
      <alignment horizontal="center"/>
    </xf>
    <xf numFmtId="4" fontId="24" fillId="5" borderId="1" xfId="0" applyNumberFormat="1" applyFont="1" applyFill="1" applyBorder="1" applyAlignment="1">
      <alignment horizontal="right" vertical="center"/>
    </xf>
    <xf numFmtId="4" fontId="25" fillId="0" borderId="1" xfId="0" applyNumberFormat="1" applyFont="1" applyFill="1" applyBorder="1" applyAlignment="1">
      <alignment horizontal="right" vertical="center"/>
    </xf>
    <xf numFmtId="4" fontId="25" fillId="0" borderId="6" xfId="0" applyNumberFormat="1" applyFont="1" applyFill="1" applyBorder="1" applyAlignment="1">
      <alignment horizontal="center" vertical="center"/>
    </xf>
    <xf numFmtId="4" fontId="14" fillId="0" borderId="1" xfId="0" applyNumberFormat="1" applyFont="1" applyFill="1" applyBorder="1" applyAlignment="1">
      <alignment horizontal="center" vertical="center"/>
    </xf>
    <xf numFmtId="4" fontId="31" fillId="0" borderId="1" xfId="0" applyNumberFormat="1" applyFont="1" applyFill="1" applyBorder="1" applyAlignment="1">
      <alignment horizontal="right" vertical="center"/>
    </xf>
    <xf numFmtId="4" fontId="38" fillId="0" borderId="1" xfId="0" applyNumberFormat="1" applyFont="1" applyFill="1" applyBorder="1" applyAlignment="1">
      <alignment horizontal="center" vertical="center"/>
    </xf>
    <xf numFmtId="4" fontId="24" fillId="0" borderId="1" xfId="0" applyNumberFormat="1" applyFont="1" applyFill="1" applyBorder="1" applyAlignment="1">
      <alignment horizontal="center" vertical="center"/>
    </xf>
    <xf numFmtId="4" fontId="14" fillId="0" borderId="4" xfId="0" applyNumberFormat="1" applyFont="1" applyFill="1" applyBorder="1" applyAlignment="1">
      <alignment horizontal="center" vertical="center"/>
    </xf>
    <xf numFmtId="4" fontId="31" fillId="0" borderId="1" xfId="0" applyNumberFormat="1" applyFont="1" applyFill="1" applyBorder="1" applyAlignment="1">
      <alignment horizontal="center" vertical="center"/>
    </xf>
    <xf numFmtId="4" fontId="14" fillId="0" borderId="6" xfId="0" applyNumberFormat="1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4" fontId="14" fillId="0" borderId="6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4" fontId="14" fillId="0" borderId="7" xfId="0" applyNumberFormat="1" applyFont="1" applyFill="1" applyBorder="1" applyAlignment="1">
      <alignment horizontal="center" vertical="center"/>
    </xf>
    <xf numFmtId="4" fontId="14" fillId="0" borderId="4" xfId="0" applyNumberFormat="1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25" fillId="5" borderId="11" xfId="0" applyFont="1" applyFill="1" applyBorder="1" applyAlignment="1">
      <alignment horizontal="left"/>
    </xf>
    <xf numFmtId="0" fontId="0" fillId="5" borderId="12" xfId="0" applyFill="1" applyBorder="1" applyAlignment="1">
      <alignment horizontal="left"/>
    </xf>
    <xf numFmtId="0" fontId="0" fillId="5" borderId="8" xfId="0" applyFill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24">
    <cellStyle name="20% — акцент2" xfId="8" builtinId="34"/>
    <cellStyle name="Excel Built-in 20% - Accent2" xfId="12"/>
    <cellStyle name="Excel Built-in Heading 1" xfId="13"/>
    <cellStyle name="Excel Built-in Normal" xfId="11"/>
    <cellStyle name="Заголовок 1" xfId="5" builtinId="16"/>
    <cellStyle name="Заголовок 1 2" xfId="22"/>
    <cellStyle name="Обычный" xfId="0" builtinId="0"/>
    <cellStyle name="Обычный 2" xfId="2"/>
    <cellStyle name="Обычный 2 2" xfId="16"/>
    <cellStyle name="Обычный 2 3" xfId="4"/>
    <cellStyle name="Обычный 2 3 2" xfId="10"/>
    <cellStyle name="Обычный 2 3 3" xfId="15"/>
    <cellStyle name="Обычный 3" xfId="9"/>
    <cellStyle name="Обычный 3 2" xfId="17"/>
    <cellStyle name="Обычный 3 3" xfId="21"/>
    <cellStyle name="Обычный 4" xfId="6"/>
    <cellStyle name="Обычный 4 4" xfId="7"/>
    <cellStyle name="Обычный 5" xfId="14"/>
    <cellStyle name="Обычный 6" xfId="19"/>
    <cellStyle name="Обычный 6 2" xfId="23"/>
    <cellStyle name="Финансовый" xfId="1" builtinId="3"/>
    <cellStyle name="Финансовый 19 2" xfId="18"/>
    <cellStyle name="Финансовый 2" xfId="3"/>
    <cellStyle name="Финансовый 3" xfId="2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FF"/>
      <color rgb="FF99CCFF"/>
      <color rgb="FF00FFCC"/>
      <color rgb="FFFF99FF"/>
      <color rgb="FFCCCCFF"/>
      <color rgb="FFFF9999"/>
      <color rgb="FFFF7043"/>
      <color rgb="FFFF3300"/>
      <color rgb="FFFF6699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3700%20&#1084;&#1086;&#1101;&#1082;\&#1044;&#1057;4%20&#1084;&#1072;&#1089;&#1089;&#1086;&#1074;&#1072;&#1103;\&#1056;&#1072;&#1089;&#1095;&#1077;&#1090;_&#1052;&#1080;&#1054;_&#1044;&#1057;-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анные"/>
      <sheetName val="Согласование"/>
      <sheetName val="ЗП"/>
      <sheetName val="Расчет_ВИС"/>
      <sheetName val="Индексы ФСГС"/>
      <sheetName val="Индексы Европа"/>
      <sheetName val="Курсы валют"/>
      <sheetName val="НСС"/>
      <sheetName val="Коэффициенты"/>
      <sheetName val="Износы"/>
      <sheetName val="Пробеги"/>
    </sheetNames>
    <sheetDataSet>
      <sheetData sheetId="0">
        <row r="1">
          <cell r="B1">
            <v>45644</v>
          </cell>
        </row>
        <row r="5">
          <cell r="B5">
            <v>0.8</v>
          </cell>
        </row>
      </sheetData>
      <sheetData sheetId="1">
        <row r="1">
          <cell r="B1" t="str">
            <v>ID</v>
          </cell>
        </row>
      </sheetData>
      <sheetData sheetId="2"/>
      <sheetData sheetId="3"/>
      <sheetData sheetId="4">
        <row r="1">
          <cell r="A1" t="str">
            <v>Дата</v>
          </cell>
        </row>
      </sheetData>
      <sheetData sheetId="5">
        <row r="9">
          <cell r="A9" t="str">
            <v>Дата</v>
          </cell>
        </row>
      </sheetData>
      <sheetData sheetId="6">
        <row r="1">
          <cell r="A1" t="str">
            <v>Дата</v>
          </cell>
        </row>
      </sheetData>
      <sheetData sheetId="7">
        <row r="2">
          <cell r="B2" t="str">
            <v>Наименование подкласса</v>
          </cell>
        </row>
      </sheetData>
      <sheetData sheetId="8">
        <row r="46">
          <cell r="B46" t="str">
            <v>Группа НСС</v>
          </cell>
        </row>
      </sheetData>
      <sheetData sheetId="9">
        <row r="13">
          <cell r="E13">
            <v>0.27500000000000002</v>
          </cell>
        </row>
      </sheetData>
      <sheetData sheetId="10">
        <row r="1">
          <cell r="A1" t="str">
            <v>Назначение ТС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>
    <pageSetUpPr fitToPage="1"/>
  </sheetPr>
  <dimension ref="A2:Y2091"/>
  <sheetViews>
    <sheetView tabSelected="1" zoomScale="85" zoomScaleNormal="85" zoomScaleSheetLayoutView="55" workbookViewId="0">
      <pane ySplit="4" topLeftCell="A5" activePane="bottomLeft" state="frozen"/>
      <selection pane="bottomLeft" activeCell="U2" sqref="U2"/>
    </sheetView>
  </sheetViews>
  <sheetFormatPr defaultColWidth="9.1796875" defaultRowHeight="14.5" x14ac:dyDescent="0.35"/>
  <cols>
    <col min="1" max="1" width="6.1796875" customWidth="1"/>
    <col min="2" max="2" width="9.81640625" customWidth="1"/>
    <col min="3" max="3" width="14" customWidth="1"/>
    <col min="4" max="4" width="49" customWidth="1"/>
    <col min="5" max="5" width="41.1796875" customWidth="1"/>
    <col min="6" max="6" width="14" customWidth="1"/>
    <col min="7" max="7" width="11.1796875" customWidth="1"/>
    <col min="8" max="8" width="15.7265625" customWidth="1"/>
    <col min="9" max="9" width="16.453125" customWidth="1"/>
    <col min="10" max="10" width="28.1796875" customWidth="1"/>
    <col min="11" max="11" width="24.81640625" customWidth="1"/>
    <col min="12" max="12" width="20.7265625" customWidth="1"/>
    <col min="13" max="13" width="16.7265625" customWidth="1"/>
    <col min="14" max="14" width="16.81640625" customWidth="1"/>
    <col min="15" max="15" width="23.54296875" customWidth="1"/>
    <col min="16" max="16" width="21.1796875" customWidth="1"/>
    <col min="17" max="17" width="20.54296875" customWidth="1"/>
    <col min="18" max="18" width="29.1796875" customWidth="1"/>
    <col min="19" max="19" width="21.26953125" customWidth="1"/>
    <col min="20" max="20" width="9.453125" style="103" customWidth="1"/>
    <col min="21" max="21" width="34.453125" customWidth="1"/>
    <col min="22" max="22" width="12" bestFit="1" customWidth="1"/>
    <col min="23" max="23" width="13.54296875" customWidth="1"/>
    <col min="24" max="24" width="17" customWidth="1"/>
    <col min="25" max="25" width="18" customWidth="1"/>
  </cols>
  <sheetData>
    <row r="2" spans="1:21" ht="18.5" x14ac:dyDescent="0.35">
      <c r="A2" s="204"/>
      <c r="B2" s="205" t="s">
        <v>4616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4"/>
      <c r="Q2" s="274"/>
      <c r="R2" s="274"/>
      <c r="S2" s="274"/>
      <c r="T2" s="207"/>
      <c r="U2" s="208"/>
    </row>
    <row r="3" spans="1:21" x14ac:dyDescent="0.35">
      <c r="A3" s="204"/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7"/>
      <c r="U3" s="204"/>
    </row>
    <row r="4" spans="1:21" s="47" customFormat="1" ht="96.75" customHeight="1" x14ac:dyDescent="0.35">
      <c r="A4" s="114" t="s">
        <v>2364</v>
      </c>
      <c r="B4" s="1" t="s">
        <v>514</v>
      </c>
      <c r="C4" s="1" t="s">
        <v>141</v>
      </c>
      <c r="D4" s="1" t="s">
        <v>142</v>
      </c>
      <c r="E4" s="1" t="s">
        <v>513</v>
      </c>
      <c r="F4" s="1" t="s">
        <v>4615</v>
      </c>
      <c r="G4" s="1" t="s">
        <v>143</v>
      </c>
      <c r="H4" s="1" t="s">
        <v>515</v>
      </c>
      <c r="I4" s="1" t="s">
        <v>978</v>
      </c>
      <c r="J4" s="1" t="s">
        <v>979</v>
      </c>
      <c r="K4" s="1" t="s">
        <v>715</v>
      </c>
      <c r="L4" s="1" t="s">
        <v>716</v>
      </c>
      <c r="M4" s="77" t="s">
        <v>2299</v>
      </c>
      <c r="N4" s="77" t="s">
        <v>2298</v>
      </c>
      <c r="O4" s="77" t="s">
        <v>2302</v>
      </c>
      <c r="P4" s="46" t="s">
        <v>4086</v>
      </c>
      <c r="Q4" s="46" t="s">
        <v>4612</v>
      </c>
      <c r="R4" s="46" t="s">
        <v>4613</v>
      </c>
      <c r="S4" s="46" t="s">
        <v>4260</v>
      </c>
      <c r="T4" s="46" t="s">
        <v>2306</v>
      </c>
      <c r="U4" s="1" t="s">
        <v>2307</v>
      </c>
    </row>
    <row r="5" spans="1:21" ht="22" customHeight="1" x14ac:dyDescent="0.35">
      <c r="A5" s="239" t="s">
        <v>4430</v>
      </c>
      <c r="B5" s="3">
        <v>1</v>
      </c>
      <c r="C5" s="247">
        <v>102019448</v>
      </c>
      <c r="D5" s="247" t="s">
        <v>4313</v>
      </c>
      <c r="E5" s="248" t="s">
        <v>4391</v>
      </c>
      <c r="F5" s="250">
        <v>5</v>
      </c>
      <c r="G5" s="250" t="s">
        <v>0</v>
      </c>
      <c r="H5" s="251">
        <v>43040</v>
      </c>
      <c r="I5" s="252" t="s">
        <v>985</v>
      </c>
      <c r="J5" s="253" t="s">
        <v>1962</v>
      </c>
      <c r="K5" s="253" t="s">
        <v>988</v>
      </c>
      <c r="L5" s="254" t="s">
        <v>977</v>
      </c>
      <c r="M5" s="255">
        <v>3103.8</v>
      </c>
      <c r="N5" s="256">
        <f>O5/F5</f>
        <v>620.76</v>
      </c>
      <c r="O5" s="275">
        <v>3103.8</v>
      </c>
      <c r="P5" s="72">
        <v>5140</v>
      </c>
      <c r="Q5" s="256">
        <f t="shared" ref="Q5:Q36" si="0">R5-P5</f>
        <v>1130.8</v>
      </c>
      <c r="R5" s="256">
        <f t="shared" ref="R5:R36" si="1">P5*1.22</f>
        <v>6270.8</v>
      </c>
      <c r="S5" s="289"/>
      <c r="T5" s="3">
        <v>1</v>
      </c>
      <c r="U5" s="294" t="s">
        <v>4575</v>
      </c>
    </row>
    <row r="6" spans="1:21" ht="15" customHeight="1" x14ac:dyDescent="0.35">
      <c r="A6" s="239" t="s">
        <v>4576</v>
      </c>
      <c r="B6" s="3">
        <v>2</v>
      </c>
      <c r="C6" s="247">
        <v>102017520</v>
      </c>
      <c r="D6" s="247" t="s">
        <v>4314</v>
      </c>
      <c r="E6" s="248" t="s">
        <v>4391</v>
      </c>
      <c r="F6" s="271">
        <v>29</v>
      </c>
      <c r="G6" s="271" t="s">
        <v>0</v>
      </c>
      <c r="H6" s="277">
        <v>43070</v>
      </c>
      <c r="I6" s="252" t="s">
        <v>985</v>
      </c>
      <c r="J6" s="253" t="s">
        <v>1962</v>
      </c>
      <c r="K6" s="253" t="s">
        <v>988</v>
      </c>
      <c r="L6" s="254" t="s">
        <v>977</v>
      </c>
      <c r="M6" s="255">
        <v>2984.68</v>
      </c>
      <c r="N6" s="256">
        <f t="shared" ref="N6:N54" si="2">O6/F6</f>
        <v>102.92</v>
      </c>
      <c r="O6" s="275">
        <v>2984.68</v>
      </c>
      <c r="P6" s="72">
        <v>4930</v>
      </c>
      <c r="Q6" s="256">
        <f t="shared" si="0"/>
        <v>1084.5999999999999</v>
      </c>
      <c r="R6" s="256">
        <f t="shared" si="1"/>
        <v>6014.6</v>
      </c>
      <c r="S6" s="290"/>
      <c r="T6" s="3">
        <v>1</v>
      </c>
      <c r="U6" s="294"/>
    </row>
    <row r="7" spans="1:21" ht="15" customHeight="1" x14ac:dyDescent="0.35">
      <c r="A7" s="239" t="s">
        <v>4431</v>
      </c>
      <c r="B7" s="3">
        <v>3</v>
      </c>
      <c r="C7" s="247">
        <v>102017519</v>
      </c>
      <c r="D7" s="247" t="s">
        <v>4315</v>
      </c>
      <c r="E7" s="248" t="s">
        <v>4391</v>
      </c>
      <c r="F7" s="271">
        <v>20</v>
      </c>
      <c r="G7" s="271" t="s">
        <v>0</v>
      </c>
      <c r="H7" s="277">
        <v>43070</v>
      </c>
      <c r="I7" s="252" t="s">
        <v>985</v>
      </c>
      <c r="J7" s="253" t="s">
        <v>1962</v>
      </c>
      <c r="K7" s="253" t="s">
        <v>988</v>
      </c>
      <c r="L7" s="254" t="s">
        <v>977</v>
      </c>
      <c r="M7" s="255">
        <v>2221.8000000000002</v>
      </c>
      <c r="N7" s="256">
        <f t="shared" si="2"/>
        <v>111.09</v>
      </c>
      <c r="O7" s="275">
        <v>2221.8000000000002</v>
      </c>
      <c r="P7" s="72">
        <v>3670</v>
      </c>
      <c r="Q7" s="256">
        <f t="shared" si="0"/>
        <v>807.4</v>
      </c>
      <c r="R7" s="256">
        <f t="shared" si="1"/>
        <v>4477.3999999999996</v>
      </c>
      <c r="S7" s="290"/>
      <c r="T7" s="3">
        <v>1</v>
      </c>
      <c r="U7" s="294"/>
    </row>
    <row r="8" spans="1:21" ht="15" customHeight="1" x14ac:dyDescent="0.35">
      <c r="A8" s="239" t="s">
        <v>4432</v>
      </c>
      <c r="B8" s="3">
        <v>4</v>
      </c>
      <c r="C8" s="247">
        <v>102017518</v>
      </c>
      <c r="D8" s="247" t="s">
        <v>4316</v>
      </c>
      <c r="E8" s="248" t="s">
        <v>4391</v>
      </c>
      <c r="F8" s="271">
        <v>1</v>
      </c>
      <c r="G8" s="271" t="s">
        <v>0</v>
      </c>
      <c r="H8" s="277">
        <v>43070</v>
      </c>
      <c r="I8" s="252" t="s">
        <v>985</v>
      </c>
      <c r="J8" s="253" t="s">
        <v>1962</v>
      </c>
      <c r="K8" s="253" t="s">
        <v>988</v>
      </c>
      <c r="L8" s="254" t="s">
        <v>977</v>
      </c>
      <c r="M8" s="255">
        <v>1359.89</v>
      </c>
      <c r="N8" s="256">
        <f t="shared" si="2"/>
        <v>1359.89</v>
      </c>
      <c r="O8" s="275">
        <v>1359.89</v>
      </c>
      <c r="P8" s="72">
        <v>2240</v>
      </c>
      <c r="Q8" s="256">
        <f t="shared" si="0"/>
        <v>492.8</v>
      </c>
      <c r="R8" s="256">
        <f t="shared" si="1"/>
        <v>2732.8</v>
      </c>
      <c r="S8" s="290"/>
      <c r="T8" s="3">
        <v>1</v>
      </c>
      <c r="U8" s="294"/>
    </row>
    <row r="9" spans="1:21" ht="15" customHeight="1" x14ac:dyDescent="0.35">
      <c r="A9" s="239" t="s">
        <v>4433</v>
      </c>
      <c r="B9" s="3">
        <v>5</v>
      </c>
      <c r="C9" s="247">
        <v>102017516</v>
      </c>
      <c r="D9" s="247" t="s">
        <v>4317</v>
      </c>
      <c r="E9" s="248" t="s">
        <v>4391</v>
      </c>
      <c r="F9" s="271">
        <v>15</v>
      </c>
      <c r="G9" s="271" t="s">
        <v>0</v>
      </c>
      <c r="H9" s="277">
        <v>43070</v>
      </c>
      <c r="I9" s="252" t="s">
        <v>985</v>
      </c>
      <c r="J9" s="253" t="s">
        <v>1962</v>
      </c>
      <c r="K9" s="253" t="s">
        <v>988</v>
      </c>
      <c r="L9" s="254" t="s">
        <v>977</v>
      </c>
      <c r="M9" s="255">
        <v>2718.45</v>
      </c>
      <c r="N9" s="256">
        <f t="shared" si="2"/>
        <v>181.23</v>
      </c>
      <c r="O9" s="275">
        <v>2718.45</v>
      </c>
      <c r="P9" s="72">
        <v>4490</v>
      </c>
      <c r="Q9" s="256">
        <f t="shared" si="0"/>
        <v>987.8</v>
      </c>
      <c r="R9" s="256">
        <f t="shared" si="1"/>
        <v>5477.8</v>
      </c>
      <c r="S9" s="290"/>
      <c r="T9" s="3">
        <v>1</v>
      </c>
      <c r="U9" s="294"/>
    </row>
    <row r="10" spans="1:21" ht="15" customHeight="1" x14ac:dyDescent="0.35">
      <c r="A10" s="239" t="s">
        <v>4434</v>
      </c>
      <c r="B10" s="3">
        <v>6</v>
      </c>
      <c r="C10" s="247">
        <v>102017517</v>
      </c>
      <c r="D10" s="247" t="s">
        <v>4318</v>
      </c>
      <c r="E10" s="248" t="s">
        <v>4391</v>
      </c>
      <c r="F10" s="271">
        <v>21</v>
      </c>
      <c r="G10" s="271" t="s">
        <v>0</v>
      </c>
      <c r="H10" s="277">
        <v>43070</v>
      </c>
      <c r="I10" s="252" t="s">
        <v>985</v>
      </c>
      <c r="J10" s="253" t="s">
        <v>1962</v>
      </c>
      <c r="K10" s="253" t="s">
        <v>988</v>
      </c>
      <c r="L10" s="254" t="s">
        <v>977</v>
      </c>
      <c r="M10" s="255">
        <v>3641.19</v>
      </c>
      <c r="N10" s="256">
        <f t="shared" si="2"/>
        <v>173.39</v>
      </c>
      <c r="O10" s="275">
        <v>3641.19</v>
      </c>
      <c r="P10" s="72">
        <v>6010</v>
      </c>
      <c r="Q10" s="256">
        <f t="shared" si="0"/>
        <v>1322.2</v>
      </c>
      <c r="R10" s="256">
        <f t="shared" si="1"/>
        <v>7332.2</v>
      </c>
      <c r="S10" s="290"/>
      <c r="T10" s="3">
        <v>1</v>
      </c>
      <c r="U10" s="294"/>
    </row>
    <row r="11" spans="1:21" ht="15" customHeight="1" x14ac:dyDescent="0.35">
      <c r="A11" s="239" t="s">
        <v>4435</v>
      </c>
      <c r="B11" s="3">
        <v>7</v>
      </c>
      <c r="C11" s="247">
        <v>102017515</v>
      </c>
      <c r="D11" s="247" t="s">
        <v>4319</v>
      </c>
      <c r="E11" s="248" t="s">
        <v>4391</v>
      </c>
      <c r="F11" s="271">
        <v>5</v>
      </c>
      <c r="G11" s="271" t="s">
        <v>0</v>
      </c>
      <c r="H11" s="277">
        <v>43070</v>
      </c>
      <c r="I11" s="252" t="s">
        <v>985</v>
      </c>
      <c r="J11" s="253" t="s">
        <v>1962</v>
      </c>
      <c r="K11" s="253" t="s">
        <v>988</v>
      </c>
      <c r="L11" s="254" t="s">
        <v>977</v>
      </c>
      <c r="M11" s="255">
        <v>1128.6500000000001</v>
      </c>
      <c r="N11" s="256">
        <f t="shared" si="2"/>
        <v>225.73</v>
      </c>
      <c r="O11" s="275">
        <v>1128.6500000000001</v>
      </c>
      <c r="P11" s="72">
        <v>1860</v>
      </c>
      <c r="Q11" s="256">
        <f t="shared" si="0"/>
        <v>409.2</v>
      </c>
      <c r="R11" s="256">
        <f t="shared" si="1"/>
        <v>2269.1999999999998</v>
      </c>
      <c r="S11" s="290"/>
      <c r="T11" s="3">
        <v>1</v>
      </c>
      <c r="U11" s="294"/>
    </row>
    <row r="12" spans="1:21" ht="15" customHeight="1" x14ac:dyDescent="0.35">
      <c r="A12" s="239" t="s">
        <v>4436</v>
      </c>
      <c r="B12" s="3">
        <v>8</v>
      </c>
      <c r="C12" s="247">
        <v>102011781</v>
      </c>
      <c r="D12" s="247" t="s">
        <v>4320</v>
      </c>
      <c r="E12" s="248" t="s">
        <v>4391</v>
      </c>
      <c r="F12" s="271">
        <v>8</v>
      </c>
      <c r="G12" s="271" t="s">
        <v>0</v>
      </c>
      <c r="H12" s="277">
        <v>43070</v>
      </c>
      <c r="I12" s="252" t="s">
        <v>985</v>
      </c>
      <c r="J12" s="253" t="s">
        <v>1962</v>
      </c>
      <c r="K12" s="253" t="s">
        <v>988</v>
      </c>
      <c r="L12" s="254" t="s">
        <v>977</v>
      </c>
      <c r="M12" s="255">
        <v>812.16</v>
      </c>
      <c r="N12" s="256">
        <f t="shared" si="2"/>
        <v>101.52</v>
      </c>
      <c r="O12" s="275">
        <v>812.16</v>
      </c>
      <c r="P12" s="72">
        <v>1340</v>
      </c>
      <c r="Q12" s="256">
        <f t="shared" si="0"/>
        <v>294.8</v>
      </c>
      <c r="R12" s="256">
        <f t="shared" si="1"/>
        <v>1634.8</v>
      </c>
      <c r="S12" s="290"/>
      <c r="T12" s="3">
        <v>1</v>
      </c>
      <c r="U12" s="294"/>
    </row>
    <row r="13" spans="1:21" ht="15" customHeight="1" x14ac:dyDescent="0.35">
      <c r="A13" s="239" t="s">
        <v>4437</v>
      </c>
      <c r="B13" s="3">
        <v>9</v>
      </c>
      <c r="C13" s="247">
        <v>102018893</v>
      </c>
      <c r="D13" s="247" t="s">
        <v>4321</v>
      </c>
      <c r="E13" s="248" t="s">
        <v>4391</v>
      </c>
      <c r="F13" s="271">
        <v>8</v>
      </c>
      <c r="G13" s="271" t="s">
        <v>0</v>
      </c>
      <c r="H13" s="277">
        <v>43070</v>
      </c>
      <c r="I13" s="252" t="s">
        <v>985</v>
      </c>
      <c r="J13" s="253" t="s">
        <v>1962</v>
      </c>
      <c r="K13" s="253" t="s">
        <v>988</v>
      </c>
      <c r="L13" s="254" t="s">
        <v>977</v>
      </c>
      <c r="M13" s="255">
        <v>3192.88</v>
      </c>
      <c r="N13" s="256">
        <f t="shared" si="2"/>
        <v>399.11</v>
      </c>
      <c r="O13" s="275">
        <v>3192.88</v>
      </c>
      <c r="P13" s="72">
        <v>5270</v>
      </c>
      <c r="Q13" s="256">
        <f t="shared" si="0"/>
        <v>1159.4000000000001</v>
      </c>
      <c r="R13" s="256">
        <f t="shared" si="1"/>
        <v>6429.4</v>
      </c>
      <c r="S13" s="290"/>
      <c r="T13" s="3">
        <v>1</v>
      </c>
      <c r="U13" s="294"/>
    </row>
    <row r="14" spans="1:21" ht="15" customHeight="1" x14ac:dyDescent="0.35">
      <c r="A14" s="239" t="s">
        <v>4438</v>
      </c>
      <c r="B14" s="3">
        <v>10</v>
      </c>
      <c r="C14" s="247">
        <v>102018903</v>
      </c>
      <c r="D14" s="247" t="s">
        <v>4322</v>
      </c>
      <c r="E14" s="248" t="s">
        <v>4391</v>
      </c>
      <c r="F14" s="271">
        <v>160</v>
      </c>
      <c r="G14" s="271" t="s">
        <v>0</v>
      </c>
      <c r="H14" s="277">
        <v>43040</v>
      </c>
      <c r="I14" s="252" t="s">
        <v>985</v>
      </c>
      <c r="J14" s="253" t="s">
        <v>1962</v>
      </c>
      <c r="K14" s="253" t="s">
        <v>988</v>
      </c>
      <c r="L14" s="254" t="s">
        <v>977</v>
      </c>
      <c r="M14" s="255">
        <v>764.8</v>
      </c>
      <c r="N14" s="256">
        <f t="shared" si="2"/>
        <v>4.78</v>
      </c>
      <c r="O14" s="275">
        <v>764.8</v>
      </c>
      <c r="P14" s="72">
        <v>1270</v>
      </c>
      <c r="Q14" s="256">
        <f t="shared" si="0"/>
        <v>279.39999999999998</v>
      </c>
      <c r="R14" s="256">
        <f t="shared" si="1"/>
        <v>1549.4</v>
      </c>
      <c r="S14" s="290"/>
      <c r="T14" s="3">
        <v>1</v>
      </c>
      <c r="U14" s="294"/>
    </row>
    <row r="15" spans="1:21" ht="15" customHeight="1" x14ac:dyDescent="0.35">
      <c r="A15" s="239" t="s">
        <v>4439</v>
      </c>
      <c r="B15" s="3">
        <v>11</v>
      </c>
      <c r="C15" s="247">
        <v>102018858</v>
      </c>
      <c r="D15" s="247" t="s">
        <v>4323</v>
      </c>
      <c r="E15" s="248" t="s">
        <v>4391</v>
      </c>
      <c r="F15" s="271">
        <v>70</v>
      </c>
      <c r="G15" s="271" t="s">
        <v>0</v>
      </c>
      <c r="H15" s="277">
        <v>43040</v>
      </c>
      <c r="I15" s="252" t="s">
        <v>985</v>
      </c>
      <c r="J15" s="253" t="s">
        <v>1962</v>
      </c>
      <c r="K15" s="253" t="s">
        <v>988</v>
      </c>
      <c r="L15" s="254" t="s">
        <v>977</v>
      </c>
      <c r="M15" s="255">
        <v>14122.5</v>
      </c>
      <c r="N15" s="256">
        <f t="shared" si="2"/>
        <v>201.75</v>
      </c>
      <c r="O15" s="275">
        <v>14122.5</v>
      </c>
      <c r="P15" s="72">
        <v>23370</v>
      </c>
      <c r="Q15" s="256">
        <f t="shared" si="0"/>
        <v>5141.3999999999996</v>
      </c>
      <c r="R15" s="256">
        <f t="shared" si="1"/>
        <v>28511.4</v>
      </c>
      <c r="S15" s="290"/>
      <c r="T15" s="3">
        <v>1</v>
      </c>
      <c r="U15" s="294"/>
    </row>
    <row r="16" spans="1:21" ht="15" customHeight="1" x14ac:dyDescent="0.35">
      <c r="A16" s="239" t="s">
        <v>4440</v>
      </c>
      <c r="B16" s="3">
        <v>12</v>
      </c>
      <c r="C16" s="247">
        <v>102018904</v>
      </c>
      <c r="D16" s="247" t="s">
        <v>4324</v>
      </c>
      <c r="E16" s="248" t="s">
        <v>4391</v>
      </c>
      <c r="F16" s="271">
        <v>50</v>
      </c>
      <c r="G16" s="271" t="s">
        <v>0</v>
      </c>
      <c r="H16" s="277">
        <v>43070</v>
      </c>
      <c r="I16" s="252" t="s">
        <v>985</v>
      </c>
      <c r="J16" s="253" t="s">
        <v>1962</v>
      </c>
      <c r="K16" s="253" t="s">
        <v>988</v>
      </c>
      <c r="L16" s="254" t="s">
        <v>977</v>
      </c>
      <c r="M16" s="255">
        <v>2038.5</v>
      </c>
      <c r="N16" s="256">
        <f t="shared" si="2"/>
        <v>40.770000000000003</v>
      </c>
      <c r="O16" s="275">
        <v>2038.5</v>
      </c>
      <c r="P16" s="72">
        <v>3370</v>
      </c>
      <c r="Q16" s="256">
        <f t="shared" si="0"/>
        <v>741.4</v>
      </c>
      <c r="R16" s="256">
        <f t="shared" si="1"/>
        <v>4111.3999999999996</v>
      </c>
      <c r="S16" s="290"/>
      <c r="T16" s="3">
        <v>1</v>
      </c>
      <c r="U16" s="294"/>
    </row>
    <row r="17" spans="1:21" ht="15" customHeight="1" x14ac:dyDescent="0.35">
      <c r="A17" s="239" t="s">
        <v>4441</v>
      </c>
      <c r="B17" s="3">
        <v>13</v>
      </c>
      <c r="C17" s="247">
        <v>102017494</v>
      </c>
      <c r="D17" s="247" t="s">
        <v>4325</v>
      </c>
      <c r="E17" s="248" t="s">
        <v>4391</v>
      </c>
      <c r="F17" s="271">
        <v>40</v>
      </c>
      <c r="G17" s="271" t="s">
        <v>0</v>
      </c>
      <c r="H17" s="277">
        <v>43070</v>
      </c>
      <c r="I17" s="252" t="s">
        <v>985</v>
      </c>
      <c r="J17" s="253" t="s">
        <v>1962</v>
      </c>
      <c r="K17" s="253" t="s">
        <v>988</v>
      </c>
      <c r="L17" s="254" t="s">
        <v>977</v>
      </c>
      <c r="M17" s="255">
        <v>3007.6</v>
      </c>
      <c r="N17" s="256">
        <f t="shared" si="2"/>
        <v>75.19</v>
      </c>
      <c r="O17" s="275">
        <v>3007.6</v>
      </c>
      <c r="P17" s="72">
        <v>4960</v>
      </c>
      <c r="Q17" s="256">
        <f t="shared" si="0"/>
        <v>1091.2</v>
      </c>
      <c r="R17" s="256">
        <f t="shared" si="1"/>
        <v>6051.2</v>
      </c>
      <c r="S17" s="290"/>
      <c r="T17" s="3">
        <v>1</v>
      </c>
      <c r="U17" s="294"/>
    </row>
    <row r="18" spans="1:21" ht="15" customHeight="1" x14ac:dyDescent="0.35">
      <c r="A18" s="239" t="s">
        <v>4442</v>
      </c>
      <c r="B18" s="3">
        <v>14</v>
      </c>
      <c r="C18" s="247">
        <v>102019042</v>
      </c>
      <c r="D18" s="247" t="s">
        <v>4326</v>
      </c>
      <c r="E18" s="248" t="s">
        <v>4391</v>
      </c>
      <c r="F18" s="271">
        <v>50</v>
      </c>
      <c r="G18" s="271" t="s">
        <v>0</v>
      </c>
      <c r="H18" s="277">
        <v>43040</v>
      </c>
      <c r="I18" s="252" t="s">
        <v>985</v>
      </c>
      <c r="J18" s="253" t="s">
        <v>1962</v>
      </c>
      <c r="K18" s="253" t="s">
        <v>988</v>
      </c>
      <c r="L18" s="254" t="s">
        <v>977</v>
      </c>
      <c r="M18" s="255">
        <v>17091</v>
      </c>
      <c r="N18" s="256">
        <f t="shared" si="2"/>
        <v>341.82</v>
      </c>
      <c r="O18" s="275">
        <v>17091</v>
      </c>
      <c r="P18" s="72">
        <v>28290</v>
      </c>
      <c r="Q18" s="256">
        <f t="shared" si="0"/>
        <v>6223.8</v>
      </c>
      <c r="R18" s="256">
        <f t="shared" si="1"/>
        <v>34513.800000000003</v>
      </c>
      <c r="S18" s="290"/>
      <c r="T18" s="3">
        <v>1</v>
      </c>
      <c r="U18" s="294"/>
    </row>
    <row r="19" spans="1:21" ht="15" customHeight="1" x14ac:dyDescent="0.35">
      <c r="A19" s="239" t="s">
        <v>4443</v>
      </c>
      <c r="B19" s="3">
        <v>15</v>
      </c>
      <c r="C19" s="247">
        <v>102018917</v>
      </c>
      <c r="D19" s="247" t="s">
        <v>4327</v>
      </c>
      <c r="E19" s="248" t="s">
        <v>4391</v>
      </c>
      <c r="F19" s="271">
        <v>31</v>
      </c>
      <c r="G19" s="271" t="s">
        <v>0</v>
      </c>
      <c r="H19" s="277">
        <v>43070</v>
      </c>
      <c r="I19" s="252" t="s">
        <v>985</v>
      </c>
      <c r="J19" s="253" t="s">
        <v>1962</v>
      </c>
      <c r="K19" s="253" t="s">
        <v>988</v>
      </c>
      <c r="L19" s="254" t="s">
        <v>977</v>
      </c>
      <c r="M19" s="255">
        <v>312.79000000000002</v>
      </c>
      <c r="N19" s="256">
        <f t="shared" si="2"/>
        <v>10.09</v>
      </c>
      <c r="O19" s="275">
        <v>312.79000000000002</v>
      </c>
      <c r="P19" s="72">
        <v>520</v>
      </c>
      <c r="Q19" s="256">
        <f t="shared" si="0"/>
        <v>114.4</v>
      </c>
      <c r="R19" s="256">
        <f t="shared" si="1"/>
        <v>634.4</v>
      </c>
      <c r="S19" s="290"/>
      <c r="T19" s="3">
        <v>1</v>
      </c>
      <c r="U19" s="294"/>
    </row>
    <row r="20" spans="1:21" ht="15" customHeight="1" x14ac:dyDescent="0.35">
      <c r="A20" s="239" t="s">
        <v>4444</v>
      </c>
      <c r="B20" s="3">
        <v>16</v>
      </c>
      <c r="C20" s="247">
        <v>102017455</v>
      </c>
      <c r="D20" s="247" t="s">
        <v>4328</v>
      </c>
      <c r="E20" s="248" t="s">
        <v>4391</v>
      </c>
      <c r="F20" s="271">
        <v>230</v>
      </c>
      <c r="G20" s="271" t="s">
        <v>0</v>
      </c>
      <c r="H20" s="277">
        <v>43040</v>
      </c>
      <c r="I20" s="252" t="s">
        <v>985</v>
      </c>
      <c r="J20" s="253" t="s">
        <v>1962</v>
      </c>
      <c r="K20" s="253" t="s">
        <v>988</v>
      </c>
      <c r="L20" s="254" t="s">
        <v>977</v>
      </c>
      <c r="M20" s="255">
        <v>2129.8000000000002</v>
      </c>
      <c r="N20" s="256">
        <f t="shared" si="2"/>
        <v>9.26</v>
      </c>
      <c r="O20" s="275">
        <v>2129.8000000000002</v>
      </c>
      <c r="P20" s="72">
        <v>3520</v>
      </c>
      <c r="Q20" s="256">
        <f t="shared" si="0"/>
        <v>774.4</v>
      </c>
      <c r="R20" s="256">
        <f t="shared" si="1"/>
        <v>4294.3999999999996</v>
      </c>
      <c r="S20" s="290"/>
      <c r="T20" s="3">
        <v>1</v>
      </c>
      <c r="U20" s="294"/>
    </row>
    <row r="21" spans="1:21" ht="15" customHeight="1" x14ac:dyDescent="0.35">
      <c r="A21" s="239" t="s">
        <v>4445</v>
      </c>
      <c r="B21" s="3">
        <v>17</v>
      </c>
      <c r="C21" s="247">
        <v>102018860</v>
      </c>
      <c r="D21" s="247" t="s">
        <v>4329</v>
      </c>
      <c r="E21" s="248" t="s">
        <v>4391</v>
      </c>
      <c r="F21" s="271">
        <v>2868</v>
      </c>
      <c r="G21" s="271" t="s">
        <v>0</v>
      </c>
      <c r="H21" s="277">
        <v>43040</v>
      </c>
      <c r="I21" s="252" t="s">
        <v>985</v>
      </c>
      <c r="J21" s="253" t="s">
        <v>1962</v>
      </c>
      <c r="K21" s="253" t="s">
        <v>988</v>
      </c>
      <c r="L21" s="254" t="s">
        <v>977</v>
      </c>
      <c r="M21" s="255">
        <v>36194.160000000003</v>
      </c>
      <c r="N21" s="256">
        <f t="shared" si="2"/>
        <v>12.62</v>
      </c>
      <c r="O21" s="275">
        <v>36194.160000000003</v>
      </c>
      <c r="P21" s="72">
        <v>59900</v>
      </c>
      <c r="Q21" s="256">
        <f t="shared" si="0"/>
        <v>13178</v>
      </c>
      <c r="R21" s="256">
        <f t="shared" si="1"/>
        <v>73078</v>
      </c>
      <c r="S21" s="290"/>
      <c r="T21" s="3">
        <v>1</v>
      </c>
      <c r="U21" s="294"/>
    </row>
    <row r="22" spans="1:21" ht="15" customHeight="1" x14ac:dyDescent="0.35">
      <c r="A22" s="239" t="s">
        <v>4446</v>
      </c>
      <c r="B22" s="3">
        <v>18</v>
      </c>
      <c r="C22" s="247">
        <v>102017493</v>
      </c>
      <c r="D22" s="247" t="s">
        <v>4330</v>
      </c>
      <c r="E22" s="248" t="s">
        <v>4391</v>
      </c>
      <c r="F22" s="271">
        <v>650</v>
      </c>
      <c r="G22" s="271" t="s">
        <v>0</v>
      </c>
      <c r="H22" s="277">
        <v>43070</v>
      </c>
      <c r="I22" s="252" t="s">
        <v>985</v>
      </c>
      <c r="J22" s="253" t="s">
        <v>1962</v>
      </c>
      <c r="K22" s="253" t="s">
        <v>988</v>
      </c>
      <c r="L22" s="254" t="s">
        <v>977</v>
      </c>
      <c r="M22" s="255">
        <v>4244.5</v>
      </c>
      <c r="N22" s="256">
        <f t="shared" si="2"/>
        <v>6.53</v>
      </c>
      <c r="O22" s="275">
        <v>4244.5</v>
      </c>
      <c r="P22" s="72">
        <v>7010</v>
      </c>
      <c r="Q22" s="256">
        <f t="shared" si="0"/>
        <v>1542.2</v>
      </c>
      <c r="R22" s="256">
        <f t="shared" si="1"/>
        <v>8552.2000000000007</v>
      </c>
      <c r="S22" s="290"/>
      <c r="T22" s="3">
        <v>1</v>
      </c>
      <c r="U22" s="294"/>
    </row>
    <row r="23" spans="1:21" ht="15" customHeight="1" x14ac:dyDescent="0.35">
      <c r="A23" s="239" t="s">
        <v>4447</v>
      </c>
      <c r="B23" s="3">
        <v>19</v>
      </c>
      <c r="C23" s="247">
        <v>10118091</v>
      </c>
      <c r="D23" s="247" t="s">
        <v>4331</v>
      </c>
      <c r="E23" s="248" t="s">
        <v>4391</v>
      </c>
      <c r="F23" s="271">
        <v>30</v>
      </c>
      <c r="G23" s="271" t="s">
        <v>52</v>
      </c>
      <c r="H23" s="277">
        <v>43040</v>
      </c>
      <c r="I23" s="252" t="s">
        <v>985</v>
      </c>
      <c r="J23" s="253" t="s">
        <v>1962</v>
      </c>
      <c r="K23" s="253" t="s">
        <v>988</v>
      </c>
      <c r="L23" s="254" t="s">
        <v>977</v>
      </c>
      <c r="M23" s="255">
        <v>27.6</v>
      </c>
      <c r="N23" s="256">
        <f t="shared" si="2"/>
        <v>0.92</v>
      </c>
      <c r="O23" s="275">
        <v>27.6</v>
      </c>
      <c r="P23" s="72">
        <v>50</v>
      </c>
      <c r="Q23" s="256">
        <f t="shared" si="0"/>
        <v>11</v>
      </c>
      <c r="R23" s="256">
        <f t="shared" si="1"/>
        <v>61</v>
      </c>
      <c r="S23" s="290"/>
      <c r="T23" s="3">
        <v>1</v>
      </c>
      <c r="U23" s="294"/>
    </row>
    <row r="24" spans="1:21" ht="15" customHeight="1" x14ac:dyDescent="0.35">
      <c r="A24" s="239" t="s">
        <v>4448</v>
      </c>
      <c r="B24" s="3">
        <v>20</v>
      </c>
      <c r="C24" s="247">
        <v>102017384</v>
      </c>
      <c r="D24" s="247" t="s">
        <v>4332</v>
      </c>
      <c r="E24" s="248" t="s">
        <v>4391</v>
      </c>
      <c r="F24" s="271">
        <v>1</v>
      </c>
      <c r="G24" s="271" t="s">
        <v>0</v>
      </c>
      <c r="H24" s="277">
        <v>43040</v>
      </c>
      <c r="I24" s="252" t="s">
        <v>985</v>
      </c>
      <c r="J24" s="253" t="s">
        <v>1962</v>
      </c>
      <c r="K24" s="253" t="s">
        <v>988</v>
      </c>
      <c r="L24" s="254" t="s">
        <v>977</v>
      </c>
      <c r="M24" s="255">
        <v>79.05</v>
      </c>
      <c r="N24" s="256">
        <f t="shared" si="2"/>
        <v>79.05</v>
      </c>
      <c r="O24" s="275">
        <v>79.05</v>
      </c>
      <c r="P24" s="72">
        <v>130</v>
      </c>
      <c r="Q24" s="256">
        <f t="shared" si="0"/>
        <v>28.6</v>
      </c>
      <c r="R24" s="256">
        <f t="shared" si="1"/>
        <v>158.6</v>
      </c>
      <c r="S24" s="290"/>
      <c r="T24" s="3">
        <v>1</v>
      </c>
      <c r="U24" s="294"/>
    </row>
    <row r="25" spans="1:21" ht="15" customHeight="1" x14ac:dyDescent="0.35">
      <c r="A25" s="239" t="s">
        <v>4449</v>
      </c>
      <c r="B25" s="3">
        <v>21</v>
      </c>
      <c r="C25" s="247">
        <v>102018971</v>
      </c>
      <c r="D25" s="247" t="s">
        <v>4333</v>
      </c>
      <c r="E25" s="248" t="s">
        <v>4391</v>
      </c>
      <c r="F25" s="271">
        <v>6</v>
      </c>
      <c r="G25" s="271" t="s">
        <v>0</v>
      </c>
      <c r="H25" s="277">
        <v>43040</v>
      </c>
      <c r="I25" s="252" t="s">
        <v>985</v>
      </c>
      <c r="J25" s="253" t="s">
        <v>1962</v>
      </c>
      <c r="K25" s="253" t="s">
        <v>988</v>
      </c>
      <c r="L25" s="254" t="s">
        <v>977</v>
      </c>
      <c r="M25" s="255">
        <v>4910.82</v>
      </c>
      <c r="N25" s="256">
        <f t="shared" si="2"/>
        <v>818.47</v>
      </c>
      <c r="O25" s="275">
        <v>4910.82</v>
      </c>
      <c r="P25" s="72">
        <v>8130</v>
      </c>
      <c r="Q25" s="256">
        <f t="shared" si="0"/>
        <v>1788.6</v>
      </c>
      <c r="R25" s="256">
        <f t="shared" si="1"/>
        <v>9918.6</v>
      </c>
      <c r="S25" s="290"/>
      <c r="T25" s="3">
        <v>1</v>
      </c>
      <c r="U25" s="294"/>
    </row>
    <row r="26" spans="1:21" ht="15" customHeight="1" x14ac:dyDescent="0.35">
      <c r="A26" s="239" t="s">
        <v>4450</v>
      </c>
      <c r="B26" s="3">
        <v>22</v>
      </c>
      <c r="C26" s="247">
        <v>102018758</v>
      </c>
      <c r="D26" s="247" t="s">
        <v>4334</v>
      </c>
      <c r="E26" s="248" t="s">
        <v>4391</v>
      </c>
      <c r="F26" s="271">
        <v>174</v>
      </c>
      <c r="G26" s="271" t="s">
        <v>0</v>
      </c>
      <c r="H26" s="277">
        <v>43040</v>
      </c>
      <c r="I26" s="252" t="s">
        <v>985</v>
      </c>
      <c r="J26" s="253" t="s">
        <v>1962</v>
      </c>
      <c r="K26" s="253" t="s">
        <v>988</v>
      </c>
      <c r="L26" s="254" t="s">
        <v>977</v>
      </c>
      <c r="M26" s="255">
        <v>88960.98</v>
      </c>
      <c r="N26" s="256">
        <f t="shared" si="2"/>
        <v>511.27</v>
      </c>
      <c r="O26" s="275">
        <v>88960.98</v>
      </c>
      <c r="P26" s="72">
        <v>147240</v>
      </c>
      <c r="Q26" s="256">
        <f t="shared" si="0"/>
        <v>32392.799999999999</v>
      </c>
      <c r="R26" s="256">
        <f t="shared" si="1"/>
        <v>179632.8</v>
      </c>
      <c r="S26" s="290"/>
      <c r="T26" s="3">
        <v>1</v>
      </c>
      <c r="U26" s="294"/>
    </row>
    <row r="27" spans="1:21" ht="15" customHeight="1" x14ac:dyDescent="0.35">
      <c r="A27" s="239" t="s">
        <v>4451</v>
      </c>
      <c r="B27" s="3">
        <v>23</v>
      </c>
      <c r="C27" s="247">
        <v>102017500</v>
      </c>
      <c r="D27" s="247" t="s">
        <v>4335</v>
      </c>
      <c r="E27" s="248" t="s">
        <v>4391</v>
      </c>
      <c r="F27" s="271">
        <v>16</v>
      </c>
      <c r="G27" s="271" t="s">
        <v>0</v>
      </c>
      <c r="H27" s="277">
        <v>43040</v>
      </c>
      <c r="I27" s="252" t="s">
        <v>985</v>
      </c>
      <c r="J27" s="253" t="s">
        <v>1962</v>
      </c>
      <c r="K27" s="253" t="s">
        <v>988</v>
      </c>
      <c r="L27" s="254" t="s">
        <v>977</v>
      </c>
      <c r="M27" s="255">
        <v>288</v>
      </c>
      <c r="N27" s="256">
        <f t="shared" si="2"/>
        <v>18</v>
      </c>
      <c r="O27" s="275">
        <v>288</v>
      </c>
      <c r="P27" s="72">
        <v>480</v>
      </c>
      <c r="Q27" s="256">
        <f t="shared" si="0"/>
        <v>105.6</v>
      </c>
      <c r="R27" s="256">
        <f t="shared" si="1"/>
        <v>585.6</v>
      </c>
      <c r="S27" s="290"/>
      <c r="T27" s="3">
        <v>1</v>
      </c>
      <c r="U27" s="294"/>
    </row>
    <row r="28" spans="1:21" ht="15" customHeight="1" x14ac:dyDescent="0.35">
      <c r="A28" s="239" t="s">
        <v>4452</v>
      </c>
      <c r="B28" s="3">
        <v>24</v>
      </c>
      <c r="C28" s="247">
        <v>102018856</v>
      </c>
      <c r="D28" s="247" t="s">
        <v>4336</v>
      </c>
      <c r="E28" s="248" t="s">
        <v>4391</v>
      </c>
      <c r="F28" s="271">
        <v>6</v>
      </c>
      <c r="G28" s="271" t="s">
        <v>0</v>
      </c>
      <c r="H28" s="277">
        <v>43070</v>
      </c>
      <c r="I28" s="252" t="s">
        <v>985</v>
      </c>
      <c r="J28" s="253" t="s">
        <v>1962</v>
      </c>
      <c r="K28" s="253" t="s">
        <v>988</v>
      </c>
      <c r="L28" s="254" t="s">
        <v>977</v>
      </c>
      <c r="M28" s="255">
        <v>206.82</v>
      </c>
      <c r="N28" s="256">
        <f t="shared" si="2"/>
        <v>34.47</v>
      </c>
      <c r="O28" s="275">
        <v>206.82</v>
      </c>
      <c r="P28" s="72">
        <v>340</v>
      </c>
      <c r="Q28" s="256">
        <f t="shared" si="0"/>
        <v>74.8</v>
      </c>
      <c r="R28" s="256">
        <f t="shared" si="1"/>
        <v>414.8</v>
      </c>
      <c r="S28" s="290"/>
      <c r="T28" s="3">
        <v>1</v>
      </c>
      <c r="U28" s="294"/>
    </row>
    <row r="29" spans="1:21" ht="15" customHeight="1" x14ac:dyDescent="0.35">
      <c r="A29" s="239" t="s">
        <v>4453</v>
      </c>
      <c r="B29" s="3">
        <v>25</v>
      </c>
      <c r="C29" s="247">
        <v>102018868</v>
      </c>
      <c r="D29" s="247" t="s">
        <v>4337</v>
      </c>
      <c r="E29" s="248" t="s">
        <v>4391</v>
      </c>
      <c r="F29" s="271">
        <v>3</v>
      </c>
      <c r="G29" s="271" t="s">
        <v>0</v>
      </c>
      <c r="H29" s="277">
        <v>43070</v>
      </c>
      <c r="I29" s="252" t="s">
        <v>985</v>
      </c>
      <c r="J29" s="253" t="s">
        <v>1962</v>
      </c>
      <c r="K29" s="253" t="s">
        <v>988</v>
      </c>
      <c r="L29" s="254" t="s">
        <v>977</v>
      </c>
      <c r="M29" s="255">
        <v>2931.18</v>
      </c>
      <c r="N29" s="256">
        <f t="shared" si="2"/>
        <v>977.06</v>
      </c>
      <c r="O29" s="275">
        <v>2931.18</v>
      </c>
      <c r="P29" s="72">
        <v>4840</v>
      </c>
      <c r="Q29" s="256">
        <f t="shared" si="0"/>
        <v>1064.8</v>
      </c>
      <c r="R29" s="256">
        <f t="shared" si="1"/>
        <v>5904.8</v>
      </c>
      <c r="S29" s="290"/>
      <c r="T29" s="3">
        <v>1</v>
      </c>
      <c r="U29" s="294"/>
    </row>
    <row r="30" spans="1:21" ht="52.5" customHeight="1" x14ac:dyDescent="0.35">
      <c r="A30" s="239" t="s">
        <v>4454</v>
      </c>
      <c r="B30" s="3">
        <v>26</v>
      </c>
      <c r="C30" s="247">
        <v>102012950</v>
      </c>
      <c r="D30" s="247" t="s">
        <v>4187</v>
      </c>
      <c r="E30" s="248" t="s">
        <v>4391</v>
      </c>
      <c r="F30" s="271">
        <v>1</v>
      </c>
      <c r="G30" s="271" t="s">
        <v>0</v>
      </c>
      <c r="H30" s="277">
        <v>43040</v>
      </c>
      <c r="I30" s="252" t="s">
        <v>985</v>
      </c>
      <c r="J30" s="257" t="s">
        <v>4397</v>
      </c>
      <c r="K30" s="253" t="s">
        <v>988</v>
      </c>
      <c r="L30" s="254" t="s">
        <v>977</v>
      </c>
      <c r="M30" s="255">
        <v>118537.9</v>
      </c>
      <c r="N30" s="256">
        <f t="shared" si="2"/>
        <v>118537.9</v>
      </c>
      <c r="O30" s="275">
        <v>118537.9</v>
      </c>
      <c r="P30" s="72">
        <v>196190</v>
      </c>
      <c r="Q30" s="256">
        <f t="shared" si="0"/>
        <v>43161.8</v>
      </c>
      <c r="R30" s="256">
        <f t="shared" si="1"/>
        <v>239351.8</v>
      </c>
      <c r="S30" s="290"/>
      <c r="T30" s="3">
        <v>1</v>
      </c>
      <c r="U30" s="294"/>
    </row>
    <row r="31" spans="1:21" ht="59.15" customHeight="1" x14ac:dyDescent="0.35">
      <c r="A31" s="239" t="s">
        <v>4455</v>
      </c>
      <c r="B31" s="3">
        <v>27</v>
      </c>
      <c r="C31" s="247">
        <v>102011831</v>
      </c>
      <c r="D31" s="247" t="s">
        <v>4188</v>
      </c>
      <c r="E31" s="248" t="s">
        <v>4391</v>
      </c>
      <c r="F31" s="271">
        <v>1</v>
      </c>
      <c r="G31" s="271" t="s">
        <v>0</v>
      </c>
      <c r="H31" s="277">
        <v>43070</v>
      </c>
      <c r="I31" s="252" t="s">
        <v>985</v>
      </c>
      <c r="J31" s="257" t="s">
        <v>4396</v>
      </c>
      <c r="K31" s="253" t="s">
        <v>988</v>
      </c>
      <c r="L31" s="254" t="s">
        <v>977</v>
      </c>
      <c r="M31" s="255">
        <v>6625.17</v>
      </c>
      <c r="N31" s="256">
        <f t="shared" si="2"/>
        <v>6625.17</v>
      </c>
      <c r="O31" s="275">
        <v>6625.17</v>
      </c>
      <c r="P31" s="72">
        <v>10940</v>
      </c>
      <c r="Q31" s="256">
        <f t="shared" si="0"/>
        <v>2406.8000000000002</v>
      </c>
      <c r="R31" s="256">
        <f t="shared" si="1"/>
        <v>13346.8</v>
      </c>
      <c r="S31" s="290"/>
      <c r="T31" s="3">
        <v>1</v>
      </c>
      <c r="U31" s="294"/>
    </row>
    <row r="32" spans="1:21" ht="18.649999999999999" customHeight="1" x14ac:dyDescent="0.35">
      <c r="A32" s="239" t="s">
        <v>4456</v>
      </c>
      <c r="B32" s="3">
        <v>28</v>
      </c>
      <c r="C32" s="247">
        <v>102020001</v>
      </c>
      <c r="D32" s="247" t="s">
        <v>4338</v>
      </c>
      <c r="E32" s="248" t="s">
        <v>4391</v>
      </c>
      <c r="F32" s="271">
        <v>1</v>
      </c>
      <c r="G32" s="271" t="s">
        <v>0</v>
      </c>
      <c r="H32" s="277">
        <v>43040</v>
      </c>
      <c r="I32" s="252" t="s">
        <v>985</v>
      </c>
      <c r="J32" s="253" t="s">
        <v>4395</v>
      </c>
      <c r="K32" s="253" t="s">
        <v>988</v>
      </c>
      <c r="L32" s="254" t="s">
        <v>977</v>
      </c>
      <c r="M32" s="255">
        <v>6610.38</v>
      </c>
      <c r="N32" s="256">
        <f t="shared" si="2"/>
        <v>6610.38</v>
      </c>
      <c r="O32" s="275">
        <v>6610.38</v>
      </c>
      <c r="P32" s="72">
        <v>10940</v>
      </c>
      <c r="Q32" s="256">
        <f t="shared" si="0"/>
        <v>2406.8000000000002</v>
      </c>
      <c r="R32" s="256">
        <f t="shared" si="1"/>
        <v>13346.8</v>
      </c>
      <c r="S32" s="290"/>
      <c r="T32" s="3">
        <v>1</v>
      </c>
      <c r="U32" s="294"/>
    </row>
    <row r="33" spans="1:21" ht="60" customHeight="1" x14ac:dyDescent="0.35">
      <c r="A33" s="239" t="s">
        <v>4457</v>
      </c>
      <c r="B33" s="3">
        <v>29</v>
      </c>
      <c r="C33" s="247">
        <v>102018883</v>
      </c>
      <c r="D33" s="247" t="s">
        <v>4339</v>
      </c>
      <c r="E33" s="248" t="s">
        <v>4391</v>
      </c>
      <c r="F33" s="271">
        <v>3</v>
      </c>
      <c r="G33" s="271" t="s">
        <v>0</v>
      </c>
      <c r="H33" s="277">
        <v>43040</v>
      </c>
      <c r="I33" s="252" t="s">
        <v>985</v>
      </c>
      <c r="J33" s="257" t="s">
        <v>4394</v>
      </c>
      <c r="K33" s="253" t="s">
        <v>988</v>
      </c>
      <c r="L33" s="254" t="s">
        <v>977</v>
      </c>
      <c r="M33" s="255">
        <v>1643.67</v>
      </c>
      <c r="N33" s="256">
        <f t="shared" si="2"/>
        <v>547.89</v>
      </c>
      <c r="O33" s="275">
        <v>1643.67</v>
      </c>
      <c r="P33" s="72">
        <v>2720</v>
      </c>
      <c r="Q33" s="256">
        <f t="shared" si="0"/>
        <v>598.4</v>
      </c>
      <c r="R33" s="256">
        <f t="shared" si="1"/>
        <v>3318.4</v>
      </c>
      <c r="S33" s="290"/>
      <c r="T33" s="3">
        <v>1</v>
      </c>
      <c r="U33" s="294"/>
    </row>
    <row r="34" spans="1:21" ht="56.15" customHeight="1" x14ac:dyDescent="0.35">
      <c r="A34" s="239" t="s">
        <v>4458</v>
      </c>
      <c r="B34" s="3">
        <v>30</v>
      </c>
      <c r="C34" s="247">
        <v>102018759</v>
      </c>
      <c r="D34" s="247" t="s">
        <v>4340</v>
      </c>
      <c r="E34" s="248" t="s">
        <v>4391</v>
      </c>
      <c r="F34" s="271">
        <v>65</v>
      </c>
      <c r="G34" s="271" t="s">
        <v>0</v>
      </c>
      <c r="H34" s="277">
        <v>43040</v>
      </c>
      <c r="I34" s="252" t="s">
        <v>985</v>
      </c>
      <c r="J34" s="253" t="s">
        <v>4393</v>
      </c>
      <c r="K34" s="253" t="s">
        <v>988</v>
      </c>
      <c r="L34" s="254" t="s">
        <v>977</v>
      </c>
      <c r="M34" s="255">
        <v>50601.85</v>
      </c>
      <c r="N34" s="256">
        <f t="shared" si="2"/>
        <v>778.49</v>
      </c>
      <c r="O34" s="275">
        <v>50601.85</v>
      </c>
      <c r="P34" s="72">
        <v>83750</v>
      </c>
      <c r="Q34" s="256">
        <f t="shared" si="0"/>
        <v>18425</v>
      </c>
      <c r="R34" s="256">
        <f t="shared" si="1"/>
        <v>102175</v>
      </c>
      <c r="S34" s="290"/>
      <c r="T34" s="3">
        <v>1</v>
      </c>
      <c r="U34" s="294"/>
    </row>
    <row r="35" spans="1:21" ht="15" customHeight="1" x14ac:dyDescent="0.35">
      <c r="A35" s="239" t="s">
        <v>4459</v>
      </c>
      <c r="B35" s="3">
        <v>31</v>
      </c>
      <c r="C35" s="247">
        <v>102017533</v>
      </c>
      <c r="D35" s="247" t="s">
        <v>4341</v>
      </c>
      <c r="E35" s="248" t="s">
        <v>4391</v>
      </c>
      <c r="F35" s="271">
        <v>2</v>
      </c>
      <c r="G35" s="271" t="s">
        <v>0</v>
      </c>
      <c r="H35" s="277">
        <v>43070</v>
      </c>
      <c r="I35" s="252" t="s">
        <v>985</v>
      </c>
      <c r="J35" s="253" t="s">
        <v>1962</v>
      </c>
      <c r="K35" s="253" t="s">
        <v>988</v>
      </c>
      <c r="L35" s="254" t="s">
        <v>977</v>
      </c>
      <c r="M35" s="255">
        <v>538.20000000000005</v>
      </c>
      <c r="N35" s="256">
        <f t="shared" si="2"/>
        <v>269.10000000000002</v>
      </c>
      <c r="O35" s="275">
        <v>538.20000000000005</v>
      </c>
      <c r="P35" s="72">
        <v>890</v>
      </c>
      <c r="Q35" s="256">
        <f t="shared" si="0"/>
        <v>195.8</v>
      </c>
      <c r="R35" s="256">
        <f t="shared" si="1"/>
        <v>1085.8</v>
      </c>
      <c r="S35" s="290"/>
      <c r="T35" s="3">
        <v>1</v>
      </c>
      <c r="U35" s="294"/>
    </row>
    <row r="36" spans="1:21" ht="15" customHeight="1" x14ac:dyDescent="0.35">
      <c r="A36" s="239" t="s">
        <v>4460</v>
      </c>
      <c r="B36" s="3">
        <v>32</v>
      </c>
      <c r="C36" s="247">
        <v>10111330</v>
      </c>
      <c r="D36" s="247" t="s">
        <v>4342</v>
      </c>
      <c r="E36" s="248" t="s">
        <v>4391</v>
      </c>
      <c r="F36" s="271">
        <v>880</v>
      </c>
      <c r="G36" s="271" t="s">
        <v>17</v>
      </c>
      <c r="H36" s="277">
        <v>43040</v>
      </c>
      <c r="I36" s="252" t="s">
        <v>985</v>
      </c>
      <c r="J36" s="253" t="s">
        <v>1962</v>
      </c>
      <c r="K36" s="253" t="s">
        <v>988</v>
      </c>
      <c r="L36" s="254" t="s">
        <v>977</v>
      </c>
      <c r="M36" s="255">
        <v>82033.600000000006</v>
      </c>
      <c r="N36" s="256">
        <f t="shared" si="2"/>
        <v>93.22</v>
      </c>
      <c r="O36" s="275">
        <v>82033.600000000006</v>
      </c>
      <c r="P36" s="72">
        <v>135770</v>
      </c>
      <c r="Q36" s="256">
        <f t="shared" si="0"/>
        <v>29869.4</v>
      </c>
      <c r="R36" s="256">
        <f t="shared" si="1"/>
        <v>165639.4</v>
      </c>
      <c r="S36" s="290"/>
      <c r="T36" s="3">
        <v>1</v>
      </c>
      <c r="U36" s="294"/>
    </row>
    <row r="37" spans="1:21" ht="15" customHeight="1" x14ac:dyDescent="0.35">
      <c r="A37" s="239" t="s">
        <v>4461</v>
      </c>
      <c r="B37" s="3">
        <v>33</v>
      </c>
      <c r="C37" s="247">
        <v>102011702</v>
      </c>
      <c r="D37" s="247" t="s">
        <v>4343</v>
      </c>
      <c r="E37" s="248" t="s">
        <v>4391</v>
      </c>
      <c r="F37" s="271">
        <v>100</v>
      </c>
      <c r="G37" s="271" t="s">
        <v>0</v>
      </c>
      <c r="H37" s="277">
        <v>43040</v>
      </c>
      <c r="I37" s="252" t="s">
        <v>985</v>
      </c>
      <c r="J37" s="253" t="s">
        <v>1962</v>
      </c>
      <c r="K37" s="253" t="s">
        <v>988</v>
      </c>
      <c r="L37" s="254" t="s">
        <v>977</v>
      </c>
      <c r="M37" s="255">
        <v>2644</v>
      </c>
      <c r="N37" s="256">
        <f t="shared" si="2"/>
        <v>26.44</v>
      </c>
      <c r="O37" s="275">
        <v>2644</v>
      </c>
      <c r="P37" s="72">
        <v>4380</v>
      </c>
      <c r="Q37" s="256">
        <f t="shared" ref="Q37:Q54" si="3">R37-P37</f>
        <v>963.6</v>
      </c>
      <c r="R37" s="256">
        <f t="shared" ref="R37:R54" si="4">P37*1.22</f>
        <v>5343.6</v>
      </c>
      <c r="S37" s="290"/>
      <c r="T37" s="3">
        <v>1</v>
      </c>
      <c r="U37" s="294"/>
    </row>
    <row r="38" spans="1:21" ht="15" customHeight="1" x14ac:dyDescent="0.35">
      <c r="A38" s="239" t="s">
        <v>4462</v>
      </c>
      <c r="B38" s="3">
        <v>34</v>
      </c>
      <c r="C38" s="247">
        <v>102019396</v>
      </c>
      <c r="D38" s="247" t="s">
        <v>4344</v>
      </c>
      <c r="E38" s="248" t="s">
        <v>4391</v>
      </c>
      <c r="F38" s="271">
        <v>50</v>
      </c>
      <c r="G38" s="271" t="s">
        <v>0</v>
      </c>
      <c r="H38" s="277">
        <v>43040</v>
      </c>
      <c r="I38" s="252" t="s">
        <v>985</v>
      </c>
      <c r="J38" s="253" t="s">
        <v>1962</v>
      </c>
      <c r="K38" s="253" t="s">
        <v>988</v>
      </c>
      <c r="L38" s="254" t="s">
        <v>977</v>
      </c>
      <c r="M38" s="255">
        <v>1794.5</v>
      </c>
      <c r="N38" s="256">
        <f t="shared" si="2"/>
        <v>35.89</v>
      </c>
      <c r="O38" s="275">
        <v>1794.5</v>
      </c>
      <c r="P38" s="72">
        <v>2970</v>
      </c>
      <c r="Q38" s="256">
        <f t="shared" si="3"/>
        <v>653.4</v>
      </c>
      <c r="R38" s="256">
        <f t="shared" si="4"/>
        <v>3623.4</v>
      </c>
      <c r="S38" s="290"/>
      <c r="T38" s="3">
        <v>1</v>
      </c>
      <c r="U38" s="294"/>
    </row>
    <row r="39" spans="1:21" ht="15" customHeight="1" x14ac:dyDescent="0.35">
      <c r="A39" s="239" t="s">
        <v>4463</v>
      </c>
      <c r="B39" s="3">
        <v>35</v>
      </c>
      <c r="C39" s="247">
        <v>102019429</v>
      </c>
      <c r="D39" s="247" t="s">
        <v>4345</v>
      </c>
      <c r="E39" s="248" t="s">
        <v>4391</v>
      </c>
      <c r="F39" s="271">
        <v>178</v>
      </c>
      <c r="G39" s="271" t="s">
        <v>0</v>
      </c>
      <c r="H39" s="277">
        <v>43040</v>
      </c>
      <c r="I39" s="252" t="s">
        <v>985</v>
      </c>
      <c r="J39" s="253" t="s">
        <v>1962</v>
      </c>
      <c r="K39" s="253" t="s">
        <v>988</v>
      </c>
      <c r="L39" s="254" t="s">
        <v>977</v>
      </c>
      <c r="M39" s="255">
        <v>8691.74</v>
      </c>
      <c r="N39" s="256">
        <f t="shared" si="2"/>
        <v>48.83</v>
      </c>
      <c r="O39" s="275">
        <v>8691.74</v>
      </c>
      <c r="P39" s="72">
        <v>14390</v>
      </c>
      <c r="Q39" s="256">
        <f t="shared" si="3"/>
        <v>3165.8</v>
      </c>
      <c r="R39" s="256">
        <f t="shared" si="4"/>
        <v>17555.8</v>
      </c>
      <c r="S39" s="290"/>
      <c r="T39" s="3">
        <v>1</v>
      </c>
      <c r="U39" s="294"/>
    </row>
    <row r="40" spans="1:21" ht="15" customHeight="1" x14ac:dyDescent="0.35">
      <c r="A40" s="239" t="s">
        <v>4464</v>
      </c>
      <c r="B40" s="3">
        <v>36</v>
      </c>
      <c r="C40" s="247">
        <v>102019395</v>
      </c>
      <c r="D40" s="247" t="s">
        <v>4346</v>
      </c>
      <c r="E40" s="248" t="s">
        <v>4391</v>
      </c>
      <c r="F40" s="271">
        <v>114</v>
      </c>
      <c r="G40" s="271" t="s">
        <v>0</v>
      </c>
      <c r="H40" s="277">
        <v>43040</v>
      </c>
      <c r="I40" s="252" t="s">
        <v>985</v>
      </c>
      <c r="J40" s="253" t="s">
        <v>1962</v>
      </c>
      <c r="K40" s="253" t="s">
        <v>988</v>
      </c>
      <c r="L40" s="254" t="s">
        <v>977</v>
      </c>
      <c r="M40" s="255">
        <v>6868.5</v>
      </c>
      <c r="N40" s="256">
        <f t="shared" si="2"/>
        <v>60.25</v>
      </c>
      <c r="O40" s="275">
        <v>6868.5</v>
      </c>
      <c r="P40" s="72">
        <v>11370</v>
      </c>
      <c r="Q40" s="256">
        <f t="shared" si="3"/>
        <v>2501.4</v>
      </c>
      <c r="R40" s="256">
        <f t="shared" si="4"/>
        <v>13871.4</v>
      </c>
      <c r="S40" s="290"/>
      <c r="T40" s="3">
        <v>1</v>
      </c>
      <c r="U40" s="294"/>
    </row>
    <row r="41" spans="1:21" ht="28" customHeight="1" x14ac:dyDescent="0.35">
      <c r="A41" s="239" t="s">
        <v>4465</v>
      </c>
      <c r="B41" s="3">
        <v>37</v>
      </c>
      <c r="C41" s="247">
        <v>102011746</v>
      </c>
      <c r="D41" s="247" t="s">
        <v>4347</v>
      </c>
      <c r="E41" s="248" t="s">
        <v>4391</v>
      </c>
      <c r="F41" s="271">
        <v>1</v>
      </c>
      <c r="G41" s="271" t="s">
        <v>0</v>
      </c>
      <c r="H41" s="277">
        <v>42527</v>
      </c>
      <c r="I41" s="252" t="s">
        <v>985</v>
      </c>
      <c r="J41" s="257" t="s">
        <v>4392</v>
      </c>
      <c r="K41" s="253" t="s">
        <v>988</v>
      </c>
      <c r="L41" s="254" t="s">
        <v>977</v>
      </c>
      <c r="M41" s="255">
        <v>178644.25</v>
      </c>
      <c r="N41" s="256">
        <f t="shared" si="2"/>
        <v>178644.25</v>
      </c>
      <c r="O41" s="275">
        <v>178644.25</v>
      </c>
      <c r="P41" s="72">
        <v>305780</v>
      </c>
      <c r="Q41" s="256">
        <f t="shared" si="3"/>
        <v>67271.600000000006</v>
      </c>
      <c r="R41" s="256">
        <f t="shared" si="4"/>
        <v>373051.6</v>
      </c>
      <c r="S41" s="290"/>
      <c r="T41" s="3">
        <v>1</v>
      </c>
      <c r="U41" s="294"/>
    </row>
    <row r="42" spans="1:21" ht="15" customHeight="1" x14ac:dyDescent="0.35">
      <c r="A42" s="239" t="s">
        <v>4466</v>
      </c>
      <c r="B42" s="3">
        <v>38</v>
      </c>
      <c r="C42" s="247">
        <v>102017498</v>
      </c>
      <c r="D42" s="247" t="s">
        <v>4348</v>
      </c>
      <c r="E42" s="248" t="s">
        <v>4391</v>
      </c>
      <c r="F42" s="271">
        <v>16</v>
      </c>
      <c r="G42" s="271" t="s">
        <v>0</v>
      </c>
      <c r="H42" s="277">
        <v>43070</v>
      </c>
      <c r="I42" s="252" t="s">
        <v>985</v>
      </c>
      <c r="J42" s="253" t="s">
        <v>1962</v>
      </c>
      <c r="K42" s="253" t="s">
        <v>988</v>
      </c>
      <c r="L42" s="254" t="s">
        <v>977</v>
      </c>
      <c r="M42" s="255">
        <v>201.76</v>
      </c>
      <c r="N42" s="256">
        <f t="shared" si="2"/>
        <v>12.61</v>
      </c>
      <c r="O42" s="275">
        <v>201.76</v>
      </c>
      <c r="P42" s="72">
        <v>330</v>
      </c>
      <c r="Q42" s="256">
        <f t="shared" si="3"/>
        <v>72.599999999999994</v>
      </c>
      <c r="R42" s="256">
        <f t="shared" si="4"/>
        <v>402.6</v>
      </c>
      <c r="S42" s="290"/>
      <c r="T42" s="3">
        <v>1</v>
      </c>
      <c r="U42" s="294"/>
    </row>
    <row r="43" spans="1:21" ht="15" customHeight="1" x14ac:dyDescent="0.35">
      <c r="A43" s="239" t="s">
        <v>4467</v>
      </c>
      <c r="B43" s="3">
        <v>39</v>
      </c>
      <c r="C43" s="247">
        <v>102017486</v>
      </c>
      <c r="D43" s="247" t="s">
        <v>4349</v>
      </c>
      <c r="E43" s="248" t="s">
        <v>4391</v>
      </c>
      <c r="F43" s="271">
        <v>2</v>
      </c>
      <c r="G43" s="271" t="s">
        <v>0</v>
      </c>
      <c r="H43" s="277">
        <v>43040</v>
      </c>
      <c r="I43" s="252" t="s">
        <v>985</v>
      </c>
      <c r="J43" s="253" t="s">
        <v>1962</v>
      </c>
      <c r="K43" s="253" t="s">
        <v>988</v>
      </c>
      <c r="L43" s="254" t="s">
        <v>977</v>
      </c>
      <c r="M43" s="255">
        <v>236.14</v>
      </c>
      <c r="N43" s="256">
        <f t="shared" si="2"/>
        <v>118.07</v>
      </c>
      <c r="O43" s="275">
        <v>236.14</v>
      </c>
      <c r="P43" s="72">
        <v>390</v>
      </c>
      <c r="Q43" s="256">
        <f t="shared" si="3"/>
        <v>85.8</v>
      </c>
      <c r="R43" s="256">
        <f t="shared" si="4"/>
        <v>475.8</v>
      </c>
      <c r="S43" s="290"/>
      <c r="T43" s="3">
        <v>1</v>
      </c>
      <c r="U43" s="294"/>
    </row>
    <row r="44" spans="1:21" ht="15" customHeight="1" x14ac:dyDescent="0.35">
      <c r="A44" s="239" t="s">
        <v>4468</v>
      </c>
      <c r="B44" s="3">
        <v>40</v>
      </c>
      <c r="C44" s="247">
        <v>102018941</v>
      </c>
      <c r="D44" s="247" t="s">
        <v>4350</v>
      </c>
      <c r="E44" s="248" t="s">
        <v>4391</v>
      </c>
      <c r="F44" s="271">
        <v>14</v>
      </c>
      <c r="G44" s="271" t="s">
        <v>0</v>
      </c>
      <c r="H44" s="277">
        <v>43040</v>
      </c>
      <c r="I44" s="252" t="s">
        <v>985</v>
      </c>
      <c r="J44" s="253" t="s">
        <v>1962</v>
      </c>
      <c r="K44" s="253" t="s">
        <v>988</v>
      </c>
      <c r="L44" s="254" t="s">
        <v>977</v>
      </c>
      <c r="M44" s="255">
        <v>1658.86</v>
      </c>
      <c r="N44" s="256">
        <f t="shared" si="2"/>
        <v>118.49</v>
      </c>
      <c r="O44" s="275">
        <v>1658.86</v>
      </c>
      <c r="P44" s="72">
        <v>2750</v>
      </c>
      <c r="Q44" s="256">
        <f t="shared" si="3"/>
        <v>605</v>
      </c>
      <c r="R44" s="256">
        <f t="shared" si="4"/>
        <v>3355</v>
      </c>
      <c r="S44" s="290"/>
      <c r="T44" s="3">
        <v>1</v>
      </c>
      <c r="U44" s="294"/>
    </row>
    <row r="45" spans="1:21" ht="15" customHeight="1" x14ac:dyDescent="0.35">
      <c r="A45" s="239" t="s">
        <v>4469</v>
      </c>
      <c r="B45" s="3">
        <v>41</v>
      </c>
      <c r="C45" s="247">
        <v>102018925</v>
      </c>
      <c r="D45" s="247" t="s">
        <v>4351</v>
      </c>
      <c r="E45" s="248" t="s">
        <v>4391</v>
      </c>
      <c r="F45" s="271">
        <v>8</v>
      </c>
      <c r="G45" s="271" t="s">
        <v>0</v>
      </c>
      <c r="H45" s="277">
        <v>43040</v>
      </c>
      <c r="I45" s="252" t="s">
        <v>985</v>
      </c>
      <c r="J45" s="253" t="s">
        <v>1962</v>
      </c>
      <c r="K45" s="253" t="s">
        <v>988</v>
      </c>
      <c r="L45" s="254" t="s">
        <v>977</v>
      </c>
      <c r="M45" s="255">
        <v>176.96</v>
      </c>
      <c r="N45" s="256">
        <f t="shared" si="2"/>
        <v>22.12</v>
      </c>
      <c r="O45" s="275">
        <v>176.96</v>
      </c>
      <c r="P45" s="72">
        <v>290</v>
      </c>
      <c r="Q45" s="256">
        <f t="shared" si="3"/>
        <v>63.8</v>
      </c>
      <c r="R45" s="256">
        <f t="shared" si="4"/>
        <v>353.8</v>
      </c>
      <c r="S45" s="290"/>
      <c r="T45" s="3">
        <v>1</v>
      </c>
      <c r="U45" s="294"/>
    </row>
    <row r="46" spans="1:21" ht="15" customHeight="1" x14ac:dyDescent="0.35">
      <c r="A46" s="239" t="s">
        <v>4470</v>
      </c>
      <c r="B46" s="3">
        <v>42</v>
      </c>
      <c r="C46" s="247">
        <v>102018834</v>
      </c>
      <c r="D46" s="247" t="s">
        <v>4352</v>
      </c>
      <c r="E46" s="248" t="s">
        <v>4391</v>
      </c>
      <c r="F46" s="271">
        <v>3</v>
      </c>
      <c r="G46" s="271" t="s">
        <v>0</v>
      </c>
      <c r="H46" s="277">
        <v>43040</v>
      </c>
      <c r="I46" s="252" t="s">
        <v>985</v>
      </c>
      <c r="J46" s="253" t="s">
        <v>1962</v>
      </c>
      <c r="K46" s="253" t="s">
        <v>988</v>
      </c>
      <c r="L46" s="254" t="s">
        <v>977</v>
      </c>
      <c r="M46" s="255">
        <v>347.49</v>
      </c>
      <c r="N46" s="256">
        <f t="shared" si="2"/>
        <v>115.83</v>
      </c>
      <c r="O46" s="275">
        <v>347.49</v>
      </c>
      <c r="P46" s="72">
        <v>580</v>
      </c>
      <c r="Q46" s="256">
        <f t="shared" si="3"/>
        <v>127.6</v>
      </c>
      <c r="R46" s="256">
        <f t="shared" si="4"/>
        <v>707.6</v>
      </c>
      <c r="S46" s="290"/>
      <c r="T46" s="3">
        <v>1</v>
      </c>
      <c r="U46" s="294"/>
    </row>
    <row r="47" spans="1:21" ht="15" customHeight="1" x14ac:dyDescent="0.35">
      <c r="A47" s="239" t="s">
        <v>4471</v>
      </c>
      <c r="B47" s="3">
        <v>43</v>
      </c>
      <c r="C47" s="247">
        <v>102018870</v>
      </c>
      <c r="D47" s="247" t="s">
        <v>4353</v>
      </c>
      <c r="E47" s="248" t="s">
        <v>4391</v>
      </c>
      <c r="F47" s="271">
        <v>45</v>
      </c>
      <c r="G47" s="271" t="s">
        <v>0</v>
      </c>
      <c r="H47" s="277">
        <v>43070</v>
      </c>
      <c r="I47" s="252" t="s">
        <v>985</v>
      </c>
      <c r="J47" s="253" t="s">
        <v>1962</v>
      </c>
      <c r="K47" s="253" t="s">
        <v>988</v>
      </c>
      <c r="L47" s="254" t="s">
        <v>977</v>
      </c>
      <c r="M47" s="255">
        <v>1603.8</v>
      </c>
      <c r="N47" s="256">
        <f t="shared" si="2"/>
        <v>35.64</v>
      </c>
      <c r="O47" s="275">
        <v>1603.8</v>
      </c>
      <c r="P47" s="72">
        <v>2650</v>
      </c>
      <c r="Q47" s="256">
        <f t="shared" si="3"/>
        <v>583</v>
      </c>
      <c r="R47" s="256">
        <f t="shared" si="4"/>
        <v>3233</v>
      </c>
      <c r="S47" s="290"/>
      <c r="T47" s="3">
        <v>1</v>
      </c>
      <c r="U47" s="294"/>
    </row>
    <row r="48" spans="1:21" ht="15" customHeight="1" x14ac:dyDescent="0.35">
      <c r="A48" s="239" t="s">
        <v>4472</v>
      </c>
      <c r="B48" s="3">
        <v>44</v>
      </c>
      <c r="C48" s="247">
        <v>102018840</v>
      </c>
      <c r="D48" s="247" t="s">
        <v>4354</v>
      </c>
      <c r="E48" s="248" t="s">
        <v>4391</v>
      </c>
      <c r="F48" s="271">
        <v>4</v>
      </c>
      <c r="G48" s="271" t="s">
        <v>0</v>
      </c>
      <c r="H48" s="277">
        <v>43070</v>
      </c>
      <c r="I48" s="252" t="s">
        <v>985</v>
      </c>
      <c r="J48" s="253" t="s">
        <v>1962</v>
      </c>
      <c r="K48" s="253" t="s">
        <v>988</v>
      </c>
      <c r="L48" s="254" t="s">
        <v>977</v>
      </c>
      <c r="M48" s="255">
        <v>504.28</v>
      </c>
      <c r="N48" s="256">
        <f t="shared" si="2"/>
        <v>126.07</v>
      </c>
      <c r="O48" s="275">
        <v>504.28</v>
      </c>
      <c r="P48" s="72">
        <v>830</v>
      </c>
      <c r="Q48" s="256">
        <f t="shared" si="3"/>
        <v>182.6</v>
      </c>
      <c r="R48" s="256">
        <f t="shared" si="4"/>
        <v>1012.6</v>
      </c>
      <c r="S48" s="290"/>
      <c r="T48" s="3">
        <v>1</v>
      </c>
      <c r="U48" s="294"/>
    </row>
    <row r="49" spans="1:22" ht="15" customHeight="1" x14ac:dyDescent="0.35">
      <c r="A49" s="239" t="s">
        <v>4473</v>
      </c>
      <c r="B49" s="3">
        <v>45</v>
      </c>
      <c r="C49" s="247">
        <v>102022267</v>
      </c>
      <c r="D49" s="247" t="s">
        <v>4355</v>
      </c>
      <c r="E49" s="248" t="s">
        <v>4391</v>
      </c>
      <c r="F49" s="271">
        <v>7</v>
      </c>
      <c r="G49" s="271" t="s">
        <v>0</v>
      </c>
      <c r="H49" s="277">
        <v>43040</v>
      </c>
      <c r="I49" s="252" t="s">
        <v>985</v>
      </c>
      <c r="J49" s="253" t="s">
        <v>1962</v>
      </c>
      <c r="K49" s="253" t="s">
        <v>988</v>
      </c>
      <c r="L49" s="254" t="s">
        <v>977</v>
      </c>
      <c r="M49" s="255">
        <v>10036.39</v>
      </c>
      <c r="N49" s="256">
        <f t="shared" si="2"/>
        <v>1433.77</v>
      </c>
      <c r="O49" s="275">
        <v>10036.39</v>
      </c>
      <c r="P49" s="72">
        <v>16610</v>
      </c>
      <c r="Q49" s="256">
        <f t="shared" si="3"/>
        <v>3654.2</v>
      </c>
      <c r="R49" s="256">
        <f t="shared" si="4"/>
        <v>20264.2</v>
      </c>
      <c r="S49" s="290"/>
      <c r="T49" s="3">
        <v>1</v>
      </c>
      <c r="U49" s="294"/>
    </row>
    <row r="50" spans="1:22" ht="15" customHeight="1" x14ac:dyDescent="0.35">
      <c r="A50" s="239" t="s">
        <v>4474</v>
      </c>
      <c r="B50" s="3">
        <v>46</v>
      </c>
      <c r="C50" s="247">
        <v>102022217</v>
      </c>
      <c r="D50" s="247" t="s">
        <v>4356</v>
      </c>
      <c r="E50" s="248" t="s">
        <v>4391</v>
      </c>
      <c r="F50" s="271">
        <v>3</v>
      </c>
      <c r="G50" s="271" t="s">
        <v>0</v>
      </c>
      <c r="H50" s="277">
        <v>43040</v>
      </c>
      <c r="I50" s="252" t="s">
        <v>985</v>
      </c>
      <c r="J50" s="253" t="s">
        <v>1962</v>
      </c>
      <c r="K50" s="253" t="s">
        <v>988</v>
      </c>
      <c r="L50" s="254" t="s">
        <v>977</v>
      </c>
      <c r="M50" s="255">
        <v>1595.79</v>
      </c>
      <c r="N50" s="256">
        <f t="shared" si="2"/>
        <v>531.92999999999995</v>
      </c>
      <c r="O50" s="275">
        <v>1595.79</v>
      </c>
      <c r="P50" s="72">
        <v>2640</v>
      </c>
      <c r="Q50" s="256">
        <f t="shared" si="3"/>
        <v>580.79999999999995</v>
      </c>
      <c r="R50" s="256">
        <f t="shared" si="4"/>
        <v>3220.8</v>
      </c>
      <c r="S50" s="290"/>
      <c r="T50" s="3">
        <v>1</v>
      </c>
      <c r="U50" s="294"/>
    </row>
    <row r="51" spans="1:22" ht="15" customHeight="1" x14ac:dyDescent="0.35">
      <c r="A51" s="239" t="s">
        <v>4475</v>
      </c>
      <c r="B51" s="3">
        <v>47</v>
      </c>
      <c r="C51" s="247">
        <v>102011785</v>
      </c>
      <c r="D51" s="247" t="s">
        <v>4357</v>
      </c>
      <c r="E51" s="248" t="s">
        <v>4391</v>
      </c>
      <c r="F51" s="271">
        <v>2</v>
      </c>
      <c r="G51" s="271" t="s">
        <v>0</v>
      </c>
      <c r="H51" s="277">
        <v>42527</v>
      </c>
      <c r="I51" s="252" t="s">
        <v>985</v>
      </c>
      <c r="J51" s="253" t="s">
        <v>1962</v>
      </c>
      <c r="K51" s="253" t="s">
        <v>988</v>
      </c>
      <c r="L51" s="254" t="s">
        <v>977</v>
      </c>
      <c r="M51" s="255">
        <v>38458.14</v>
      </c>
      <c r="N51" s="256">
        <f t="shared" si="2"/>
        <v>19229.07</v>
      </c>
      <c r="O51" s="275">
        <v>38458.14</v>
      </c>
      <c r="P51" s="72">
        <v>65830</v>
      </c>
      <c r="Q51" s="256">
        <f t="shared" si="3"/>
        <v>14482.6</v>
      </c>
      <c r="R51" s="256">
        <f t="shared" si="4"/>
        <v>80312.600000000006</v>
      </c>
      <c r="S51" s="290"/>
      <c r="T51" s="3">
        <v>1</v>
      </c>
      <c r="U51" s="294"/>
    </row>
    <row r="52" spans="1:22" ht="15" customHeight="1" x14ac:dyDescent="0.35">
      <c r="A52" s="239" t="s">
        <v>4476</v>
      </c>
      <c r="B52" s="3">
        <v>48</v>
      </c>
      <c r="C52" s="247">
        <v>102018878</v>
      </c>
      <c r="D52" s="247" t="s">
        <v>4358</v>
      </c>
      <c r="E52" s="248" t="s">
        <v>4391</v>
      </c>
      <c r="F52" s="271">
        <v>78</v>
      </c>
      <c r="G52" s="271" t="s">
        <v>0</v>
      </c>
      <c r="H52" s="277">
        <v>43070</v>
      </c>
      <c r="I52" s="252" t="s">
        <v>985</v>
      </c>
      <c r="J52" s="253" t="s">
        <v>1962</v>
      </c>
      <c r="K52" s="253" t="s">
        <v>988</v>
      </c>
      <c r="L52" s="254" t="s">
        <v>977</v>
      </c>
      <c r="M52" s="255">
        <v>14656.2</v>
      </c>
      <c r="N52" s="256">
        <f t="shared" si="2"/>
        <v>187.9</v>
      </c>
      <c r="O52" s="275">
        <v>14656.2</v>
      </c>
      <c r="P52" s="72">
        <v>24190</v>
      </c>
      <c r="Q52" s="256">
        <f t="shared" si="3"/>
        <v>5321.8</v>
      </c>
      <c r="R52" s="256">
        <f t="shared" si="4"/>
        <v>29511.8</v>
      </c>
      <c r="S52" s="290"/>
      <c r="T52" s="3">
        <v>1</v>
      </c>
      <c r="U52" s="294"/>
    </row>
    <row r="53" spans="1:22" ht="15" customHeight="1" x14ac:dyDescent="0.35">
      <c r="A53" s="239" t="s">
        <v>4477</v>
      </c>
      <c r="B53" s="3">
        <v>49</v>
      </c>
      <c r="C53" s="247">
        <v>102011730</v>
      </c>
      <c r="D53" s="247" t="s">
        <v>4359</v>
      </c>
      <c r="E53" s="248" t="s">
        <v>4391</v>
      </c>
      <c r="F53" s="271">
        <v>2</v>
      </c>
      <c r="G53" s="271" t="s">
        <v>0</v>
      </c>
      <c r="H53" s="277">
        <v>42527</v>
      </c>
      <c r="I53" s="252" t="s">
        <v>985</v>
      </c>
      <c r="J53" s="253" t="s">
        <v>1962</v>
      </c>
      <c r="K53" s="253" t="s">
        <v>988</v>
      </c>
      <c r="L53" s="254" t="s">
        <v>977</v>
      </c>
      <c r="M53" s="255">
        <v>4962.34</v>
      </c>
      <c r="N53" s="256">
        <f t="shared" si="2"/>
        <v>2481.17</v>
      </c>
      <c r="O53" s="275">
        <v>4962.34</v>
      </c>
      <c r="P53" s="72">
        <v>8490</v>
      </c>
      <c r="Q53" s="256">
        <f t="shared" si="3"/>
        <v>1867.8</v>
      </c>
      <c r="R53" s="256">
        <f t="shared" si="4"/>
        <v>10357.799999999999</v>
      </c>
      <c r="S53" s="290"/>
      <c r="T53" s="3">
        <v>1</v>
      </c>
      <c r="U53" s="294"/>
    </row>
    <row r="54" spans="1:22" ht="15" customHeight="1" x14ac:dyDescent="0.35">
      <c r="A54" s="239" t="s">
        <v>4478</v>
      </c>
      <c r="B54" s="3">
        <v>50</v>
      </c>
      <c r="C54" s="247">
        <v>102011832</v>
      </c>
      <c r="D54" s="247" t="s">
        <v>4360</v>
      </c>
      <c r="E54" s="248" t="s">
        <v>4391</v>
      </c>
      <c r="F54" s="271">
        <v>2</v>
      </c>
      <c r="G54" s="271" t="s">
        <v>0</v>
      </c>
      <c r="H54" s="277">
        <v>42534</v>
      </c>
      <c r="I54" s="252" t="s">
        <v>985</v>
      </c>
      <c r="J54" s="253" t="s">
        <v>1962</v>
      </c>
      <c r="K54" s="253" t="s">
        <v>988</v>
      </c>
      <c r="L54" s="254" t="s">
        <v>977</v>
      </c>
      <c r="M54" s="255">
        <v>206433.36</v>
      </c>
      <c r="N54" s="256">
        <f t="shared" si="2"/>
        <v>103216.68</v>
      </c>
      <c r="O54" s="275">
        <v>206433.36</v>
      </c>
      <c r="P54" s="72">
        <v>353340</v>
      </c>
      <c r="Q54" s="256">
        <f t="shared" si="3"/>
        <v>77734.8</v>
      </c>
      <c r="R54" s="256">
        <f t="shared" si="4"/>
        <v>431074.8</v>
      </c>
      <c r="S54" s="291"/>
      <c r="T54" s="3">
        <v>1</v>
      </c>
      <c r="U54" s="294"/>
    </row>
    <row r="55" spans="1:22" ht="15" customHeight="1" x14ac:dyDescent="0.35">
      <c r="A55" s="218"/>
      <c r="B55" s="94"/>
      <c r="C55" s="65"/>
      <c r="D55" s="8"/>
      <c r="E55" s="19"/>
      <c r="F55" s="92"/>
      <c r="G55" s="3"/>
      <c r="H55" s="40"/>
      <c r="I55" s="27"/>
      <c r="J55" s="41"/>
      <c r="K55" s="4"/>
      <c r="L55" s="29"/>
      <c r="M55" s="78"/>
      <c r="N55" s="78"/>
      <c r="O55" s="108">
        <f t="shared" ref="O55:R55" si="5">SUM(O5:O54)</f>
        <v>944578.87</v>
      </c>
      <c r="P55" s="279">
        <f t="shared" si="5"/>
        <v>1587380</v>
      </c>
      <c r="Q55" s="279">
        <f t="shared" si="5"/>
        <v>349223.6</v>
      </c>
      <c r="R55" s="279">
        <f t="shared" si="5"/>
        <v>1936603.6</v>
      </c>
      <c r="S55" s="286">
        <f>R55/100*10</f>
        <v>193660.36</v>
      </c>
      <c r="T55" s="104">
        <v>1</v>
      </c>
      <c r="U55" s="295"/>
    </row>
    <row r="56" spans="1:22" ht="15" customHeight="1" x14ac:dyDescent="0.35">
      <c r="A56" s="218" t="s">
        <v>2366</v>
      </c>
      <c r="B56" s="3">
        <v>51</v>
      </c>
      <c r="C56" s="18">
        <v>102000241</v>
      </c>
      <c r="D56" s="18" t="s">
        <v>540</v>
      </c>
      <c r="E56" s="19" t="s">
        <v>2219</v>
      </c>
      <c r="F56" s="12">
        <v>8</v>
      </c>
      <c r="G56" s="12" t="s">
        <v>0</v>
      </c>
      <c r="H56" s="5">
        <v>42265</v>
      </c>
      <c r="I56" s="27" t="s">
        <v>984</v>
      </c>
      <c r="J56" s="4" t="s">
        <v>1962</v>
      </c>
      <c r="K56" s="4" t="s">
        <v>988</v>
      </c>
      <c r="L56" s="4" t="s">
        <v>977</v>
      </c>
      <c r="M56" s="81">
        <f t="shared" ref="M56:M96" si="6">O56</f>
        <v>224689.84</v>
      </c>
      <c r="N56" s="81">
        <f t="shared" ref="N56:N61" si="7">O56/F56</f>
        <v>28086.23</v>
      </c>
      <c r="O56" s="81">
        <v>224689.84</v>
      </c>
      <c r="P56" s="72">
        <v>311720</v>
      </c>
      <c r="Q56" s="256">
        <f t="shared" ref="Q56:Q61" si="8">R56-P56</f>
        <v>68578.399999999994</v>
      </c>
      <c r="R56" s="256">
        <f t="shared" ref="R56:R61" si="9">P56*1.22</f>
        <v>380298.4</v>
      </c>
      <c r="S56" s="289"/>
      <c r="T56" s="3">
        <v>2</v>
      </c>
      <c r="U56" s="294" t="s">
        <v>2358</v>
      </c>
    </row>
    <row r="57" spans="1:22" ht="15" customHeight="1" x14ac:dyDescent="0.35">
      <c r="A57" s="218" t="s">
        <v>2367</v>
      </c>
      <c r="B57" s="3">
        <v>52</v>
      </c>
      <c r="C57" s="18">
        <v>10127574</v>
      </c>
      <c r="D57" s="18" t="s">
        <v>247</v>
      </c>
      <c r="E57" s="19" t="s">
        <v>2219</v>
      </c>
      <c r="F57" s="12">
        <v>1</v>
      </c>
      <c r="G57" s="12" t="s">
        <v>0</v>
      </c>
      <c r="H57" s="5">
        <v>41388</v>
      </c>
      <c r="I57" s="27" t="s">
        <v>984</v>
      </c>
      <c r="J57" s="4" t="s">
        <v>1962</v>
      </c>
      <c r="K57" s="4" t="s">
        <v>988</v>
      </c>
      <c r="L57" s="4" t="s">
        <v>977</v>
      </c>
      <c r="M57" s="81">
        <f t="shared" si="6"/>
        <v>13769.31</v>
      </c>
      <c r="N57" s="81">
        <f t="shared" si="7"/>
        <v>13769.31</v>
      </c>
      <c r="O57" s="81">
        <v>13769.31</v>
      </c>
      <c r="P57" s="72">
        <v>20590</v>
      </c>
      <c r="Q57" s="256">
        <f t="shared" si="8"/>
        <v>4529.8</v>
      </c>
      <c r="R57" s="256">
        <f t="shared" si="9"/>
        <v>25119.8</v>
      </c>
      <c r="S57" s="296"/>
      <c r="T57" s="3">
        <v>2</v>
      </c>
      <c r="U57" s="294"/>
    </row>
    <row r="58" spans="1:22" ht="15" customHeight="1" x14ac:dyDescent="0.35">
      <c r="A58" s="218" t="s">
        <v>2368</v>
      </c>
      <c r="B58" s="3">
        <v>53</v>
      </c>
      <c r="C58" s="18">
        <v>102002439</v>
      </c>
      <c r="D58" s="18" t="s">
        <v>247</v>
      </c>
      <c r="E58" s="19" t="s">
        <v>2219</v>
      </c>
      <c r="F58" s="12">
        <v>10</v>
      </c>
      <c r="G58" s="12" t="s">
        <v>0</v>
      </c>
      <c r="H58" s="5">
        <v>41388</v>
      </c>
      <c r="I58" s="27" t="s">
        <v>984</v>
      </c>
      <c r="J58" s="4" t="s">
        <v>1962</v>
      </c>
      <c r="K58" s="4" t="s">
        <v>988</v>
      </c>
      <c r="L58" s="4" t="s">
        <v>977</v>
      </c>
      <c r="M58" s="81">
        <f t="shared" si="6"/>
        <v>242033.9</v>
      </c>
      <c r="N58" s="81">
        <f t="shared" si="7"/>
        <v>24203.39</v>
      </c>
      <c r="O58" s="81">
        <v>242033.9</v>
      </c>
      <c r="P58" s="72">
        <v>362000</v>
      </c>
      <c r="Q58" s="256">
        <f t="shared" si="8"/>
        <v>79640</v>
      </c>
      <c r="R58" s="256">
        <f t="shared" si="9"/>
        <v>441640</v>
      </c>
      <c r="S58" s="296"/>
      <c r="T58" s="3">
        <v>2</v>
      </c>
      <c r="U58" s="294"/>
    </row>
    <row r="59" spans="1:22" ht="15" customHeight="1" x14ac:dyDescent="0.35">
      <c r="A59" s="218" t="s">
        <v>2369</v>
      </c>
      <c r="B59" s="3">
        <v>54</v>
      </c>
      <c r="C59" s="44">
        <v>102001523</v>
      </c>
      <c r="D59" s="18" t="s">
        <v>1935</v>
      </c>
      <c r="E59" s="19" t="s">
        <v>2219</v>
      </c>
      <c r="F59" s="12">
        <v>1</v>
      </c>
      <c r="G59" s="3" t="s">
        <v>0</v>
      </c>
      <c r="H59" s="39">
        <v>2015</v>
      </c>
      <c r="I59" s="27" t="s">
        <v>984</v>
      </c>
      <c r="J59" s="4" t="s">
        <v>1962</v>
      </c>
      <c r="K59" s="4" t="s">
        <v>988</v>
      </c>
      <c r="L59" s="29" t="s">
        <v>977</v>
      </c>
      <c r="M59" s="78">
        <f t="shared" si="6"/>
        <v>20149.84</v>
      </c>
      <c r="N59" s="78">
        <f t="shared" si="7"/>
        <v>20149.84</v>
      </c>
      <c r="O59" s="78">
        <v>20149.84</v>
      </c>
      <c r="P59" s="72">
        <v>27700</v>
      </c>
      <c r="Q59" s="256">
        <f t="shared" si="8"/>
        <v>6094</v>
      </c>
      <c r="R59" s="256">
        <f t="shared" si="9"/>
        <v>33794</v>
      </c>
      <c r="S59" s="296"/>
      <c r="T59" s="3">
        <v>2</v>
      </c>
      <c r="U59" s="294"/>
    </row>
    <row r="60" spans="1:22" ht="15" customHeight="1" x14ac:dyDescent="0.35">
      <c r="A60" s="218" t="s">
        <v>2370</v>
      </c>
      <c r="B60" s="3">
        <v>55</v>
      </c>
      <c r="C60" s="65">
        <v>102001719</v>
      </c>
      <c r="D60" s="8" t="s">
        <v>1929</v>
      </c>
      <c r="E60" s="19" t="s">
        <v>2219</v>
      </c>
      <c r="F60" s="92">
        <v>2</v>
      </c>
      <c r="G60" s="3" t="s">
        <v>0</v>
      </c>
      <c r="H60" s="40">
        <v>41183</v>
      </c>
      <c r="I60" s="27" t="s">
        <v>984</v>
      </c>
      <c r="J60" s="4" t="s">
        <v>1962</v>
      </c>
      <c r="K60" s="4" t="s">
        <v>988</v>
      </c>
      <c r="L60" s="29" t="s">
        <v>977</v>
      </c>
      <c r="M60" s="78">
        <f t="shared" si="6"/>
        <v>81184.27</v>
      </c>
      <c r="N60" s="78">
        <f t="shared" si="7"/>
        <v>40592.14</v>
      </c>
      <c r="O60" s="78">
        <v>81184.27</v>
      </c>
      <c r="P60" s="72">
        <v>122310</v>
      </c>
      <c r="Q60" s="256">
        <f t="shared" si="8"/>
        <v>26908.2</v>
      </c>
      <c r="R60" s="256">
        <f t="shared" si="9"/>
        <v>149218.20000000001</v>
      </c>
      <c r="S60" s="296"/>
      <c r="T60" s="3">
        <v>2</v>
      </c>
      <c r="U60" s="294"/>
    </row>
    <row r="61" spans="1:22" ht="15" customHeight="1" x14ac:dyDescent="0.35">
      <c r="A61" s="218" t="s">
        <v>2371</v>
      </c>
      <c r="B61" s="3">
        <v>56</v>
      </c>
      <c r="C61" s="44">
        <v>102001549</v>
      </c>
      <c r="D61" s="18" t="s">
        <v>1934</v>
      </c>
      <c r="E61" s="19" t="s">
        <v>2219</v>
      </c>
      <c r="F61" s="12">
        <v>2</v>
      </c>
      <c r="G61" s="3" t="s">
        <v>0</v>
      </c>
      <c r="H61" s="3">
        <v>2015</v>
      </c>
      <c r="I61" s="27" t="s">
        <v>984</v>
      </c>
      <c r="J61" s="4" t="s">
        <v>1962</v>
      </c>
      <c r="K61" s="4" t="s">
        <v>988</v>
      </c>
      <c r="L61" s="29" t="s">
        <v>977</v>
      </c>
      <c r="M61" s="90">
        <f t="shared" si="6"/>
        <v>414892</v>
      </c>
      <c r="N61" s="90">
        <f t="shared" si="7"/>
        <v>207446</v>
      </c>
      <c r="O61" s="90">
        <v>414892</v>
      </c>
      <c r="P61" s="72">
        <v>570290</v>
      </c>
      <c r="Q61" s="256">
        <f t="shared" si="8"/>
        <v>125463.8</v>
      </c>
      <c r="R61" s="256">
        <f t="shared" si="9"/>
        <v>695753.8</v>
      </c>
      <c r="S61" s="297"/>
      <c r="T61" s="3">
        <v>2</v>
      </c>
      <c r="U61" s="294"/>
    </row>
    <row r="62" spans="1:22" ht="18" customHeight="1" x14ac:dyDescent="0.35">
      <c r="A62" s="218"/>
      <c r="B62" s="94"/>
      <c r="C62" s="19"/>
      <c r="D62" s="19"/>
      <c r="E62" s="19"/>
      <c r="F62" s="34"/>
      <c r="G62" s="12"/>
      <c r="H62" s="37"/>
      <c r="I62" s="19"/>
      <c r="J62" s="4"/>
      <c r="K62" s="4"/>
      <c r="L62" s="4"/>
      <c r="M62" s="81"/>
      <c r="N62" s="81"/>
      <c r="O62" s="109">
        <f t="shared" ref="O62:R62" si="10">SUM(O56:O61)</f>
        <v>996719.16</v>
      </c>
      <c r="P62" s="82">
        <f t="shared" si="10"/>
        <v>1414610</v>
      </c>
      <c r="Q62" s="279">
        <f t="shared" si="10"/>
        <v>311214.2</v>
      </c>
      <c r="R62" s="279">
        <f t="shared" si="10"/>
        <v>1725824.2</v>
      </c>
      <c r="S62" s="286">
        <f>R62/100*10</f>
        <v>172582.42</v>
      </c>
      <c r="T62" s="104">
        <v>2</v>
      </c>
      <c r="U62" s="295"/>
      <c r="V62" s="134"/>
    </row>
    <row r="63" spans="1:22" ht="18" customHeight="1" x14ac:dyDescent="0.35">
      <c r="A63" s="218" t="s">
        <v>2365</v>
      </c>
      <c r="B63" s="3">
        <v>57</v>
      </c>
      <c r="C63" s="65">
        <v>102001436</v>
      </c>
      <c r="D63" s="8" t="s">
        <v>1418</v>
      </c>
      <c r="E63" s="248" t="s">
        <v>2219</v>
      </c>
      <c r="F63" s="92">
        <v>1</v>
      </c>
      <c r="G63" s="254" t="s">
        <v>0</v>
      </c>
      <c r="H63" s="40">
        <v>41091</v>
      </c>
      <c r="I63" s="27" t="s">
        <v>984</v>
      </c>
      <c r="J63" s="41" t="s">
        <v>1406</v>
      </c>
      <c r="K63" s="253" t="s">
        <v>988</v>
      </c>
      <c r="L63" s="272" t="s">
        <v>977</v>
      </c>
      <c r="M63" s="246">
        <f t="shared" ref="M63" si="11">O63</f>
        <v>393669.49</v>
      </c>
      <c r="N63" s="246">
        <f>O63/F63</f>
        <v>393669.49</v>
      </c>
      <c r="O63" s="246">
        <v>393669.49</v>
      </c>
      <c r="P63" s="72">
        <v>701280</v>
      </c>
      <c r="Q63" s="256">
        <f>R63-P63</f>
        <v>154281.60000000001</v>
      </c>
      <c r="R63" s="256">
        <f>P63*1.22</f>
        <v>855561.6</v>
      </c>
      <c r="S63" s="280"/>
      <c r="T63" s="244">
        <v>3</v>
      </c>
      <c r="U63" s="292" t="s">
        <v>2358</v>
      </c>
    </row>
    <row r="64" spans="1:22" ht="48.75" customHeight="1" x14ac:dyDescent="0.35">
      <c r="A64" s="218" t="s">
        <v>2372</v>
      </c>
      <c r="B64" s="3">
        <v>58</v>
      </c>
      <c r="C64" s="56">
        <v>10054089</v>
      </c>
      <c r="D64" s="75" t="s">
        <v>512</v>
      </c>
      <c r="E64" s="18" t="s">
        <v>4275</v>
      </c>
      <c r="F64" s="11">
        <v>1</v>
      </c>
      <c r="G64" s="36" t="s">
        <v>0</v>
      </c>
      <c r="H64" s="5">
        <v>42004</v>
      </c>
      <c r="I64" s="38" t="s">
        <v>985</v>
      </c>
      <c r="J64" s="4" t="s">
        <v>1962</v>
      </c>
      <c r="K64" s="6" t="s">
        <v>2026</v>
      </c>
      <c r="L64" s="6" t="s">
        <v>871</v>
      </c>
      <c r="M64" s="81">
        <f t="shared" si="6"/>
        <v>18606.61</v>
      </c>
      <c r="N64" s="81">
        <f>O64/F64</f>
        <v>18606.61</v>
      </c>
      <c r="O64" s="81">
        <v>18606.61</v>
      </c>
      <c r="P64" s="72">
        <v>19370</v>
      </c>
      <c r="Q64" s="256">
        <f>R64-P64</f>
        <v>4261.3999999999996</v>
      </c>
      <c r="R64" s="256">
        <f>P64*1.22</f>
        <v>23631.4</v>
      </c>
      <c r="S64" s="289"/>
      <c r="T64" s="3">
        <v>3</v>
      </c>
      <c r="U64" s="293"/>
    </row>
    <row r="65" spans="1:21" ht="15" customHeight="1" x14ac:dyDescent="0.35">
      <c r="A65" s="218" t="s">
        <v>2373</v>
      </c>
      <c r="B65" s="3">
        <v>59</v>
      </c>
      <c r="C65" s="45">
        <v>10000274</v>
      </c>
      <c r="D65" s="2" t="s">
        <v>1365</v>
      </c>
      <c r="E65" s="18" t="s">
        <v>1363</v>
      </c>
      <c r="F65" s="7">
        <f>7-2</f>
        <v>5</v>
      </c>
      <c r="G65" s="3" t="s">
        <v>0</v>
      </c>
      <c r="H65" s="3">
        <v>2013</v>
      </c>
      <c r="I65" s="16" t="s">
        <v>1362</v>
      </c>
      <c r="J65" s="4" t="s">
        <v>1962</v>
      </c>
      <c r="K65" s="28" t="s">
        <v>1367</v>
      </c>
      <c r="L65" s="6" t="s">
        <v>871</v>
      </c>
      <c r="M65" s="81">
        <f t="shared" si="6"/>
        <v>13793.3</v>
      </c>
      <c r="N65" s="81">
        <f>O65/F65</f>
        <v>2758.66</v>
      </c>
      <c r="O65" s="81">
        <f>19310.62/7*5</f>
        <v>13793.3</v>
      </c>
      <c r="P65" s="72">
        <v>14120</v>
      </c>
      <c r="Q65" s="256">
        <f>R65-P65</f>
        <v>3106.4</v>
      </c>
      <c r="R65" s="256">
        <f>P65*1.22</f>
        <v>17226.400000000001</v>
      </c>
      <c r="S65" s="297"/>
      <c r="T65" s="3">
        <v>3</v>
      </c>
      <c r="U65" s="293"/>
    </row>
    <row r="66" spans="1:21" ht="18" customHeight="1" x14ac:dyDescent="0.35">
      <c r="A66" s="218"/>
      <c r="B66" s="94"/>
      <c r="C66" s="45"/>
      <c r="D66" s="2"/>
      <c r="E66" s="18"/>
      <c r="F66" s="7"/>
      <c r="G66" s="3"/>
      <c r="H66" s="3"/>
      <c r="I66" s="16"/>
      <c r="J66" s="4"/>
      <c r="K66" s="28"/>
      <c r="L66" s="6"/>
      <c r="M66" s="81"/>
      <c r="N66" s="81"/>
      <c r="O66" s="109">
        <f t="shared" ref="O66:R66" si="12">SUM(O63:O65)</f>
        <v>426069.4</v>
      </c>
      <c r="P66" s="82">
        <f t="shared" si="12"/>
        <v>734770</v>
      </c>
      <c r="Q66" s="279">
        <f t="shared" si="12"/>
        <v>161649.4</v>
      </c>
      <c r="R66" s="279">
        <f t="shared" si="12"/>
        <v>896419.4</v>
      </c>
      <c r="S66" s="286">
        <f>R66/100*10</f>
        <v>89641.94</v>
      </c>
      <c r="T66" s="104">
        <v>3</v>
      </c>
      <c r="U66" s="304"/>
    </row>
    <row r="67" spans="1:21" ht="29.25" customHeight="1" x14ac:dyDescent="0.35">
      <c r="A67" s="218" t="s">
        <v>2374</v>
      </c>
      <c r="B67" s="3">
        <v>60</v>
      </c>
      <c r="C67" s="66">
        <v>102001244</v>
      </c>
      <c r="D67" s="24" t="s">
        <v>1356</v>
      </c>
      <c r="E67" s="24" t="s">
        <v>4276</v>
      </c>
      <c r="F67" s="115">
        <v>1</v>
      </c>
      <c r="G67" s="3" t="s">
        <v>0</v>
      </c>
      <c r="H67" s="25" t="s">
        <v>517</v>
      </c>
      <c r="I67" s="26" t="s">
        <v>1360</v>
      </c>
      <c r="J67" s="4" t="s">
        <v>1962</v>
      </c>
      <c r="K67" s="4" t="s">
        <v>988</v>
      </c>
      <c r="L67" s="29" t="s">
        <v>977</v>
      </c>
      <c r="M67" s="78">
        <f t="shared" si="6"/>
        <v>47740</v>
      </c>
      <c r="N67" s="78">
        <f t="shared" ref="N67:N85" si="13">O67/F67</f>
        <v>47740</v>
      </c>
      <c r="O67" s="78">
        <v>47740</v>
      </c>
      <c r="P67" s="72">
        <v>72940</v>
      </c>
      <c r="Q67" s="256">
        <f t="shared" ref="Q67:Q85" si="14">R67-P67</f>
        <v>16046.8</v>
      </c>
      <c r="R67" s="256">
        <f t="shared" ref="R67:R85" si="15">P67*1.22</f>
        <v>88986.8</v>
      </c>
      <c r="S67" s="289"/>
      <c r="T67" s="3">
        <v>4</v>
      </c>
      <c r="U67" s="294" t="s">
        <v>2308</v>
      </c>
    </row>
    <row r="68" spans="1:21" ht="35.5" customHeight="1" x14ac:dyDescent="0.35">
      <c r="A68" s="218" t="s">
        <v>2375</v>
      </c>
      <c r="B68" s="3">
        <v>61</v>
      </c>
      <c r="C68" s="66">
        <v>10026610</v>
      </c>
      <c r="D68" s="24" t="s">
        <v>1357</v>
      </c>
      <c r="E68" s="24" t="s">
        <v>2224</v>
      </c>
      <c r="F68" s="115">
        <v>1</v>
      </c>
      <c r="G68" s="3" t="s">
        <v>0</v>
      </c>
      <c r="H68" s="25" t="s">
        <v>517</v>
      </c>
      <c r="I68" s="26" t="s">
        <v>1360</v>
      </c>
      <c r="J68" s="4" t="s">
        <v>1962</v>
      </c>
      <c r="K68" s="4" t="s">
        <v>988</v>
      </c>
      <c r="L68" s="29" t="s">
        <v>977</v>
      </c>
      <c r="M68" s="78">
        <f t="shared" si="6"/>
        <v>16700</v>
      </c>
      <c r="N68" s="78">
        <f t="shared" si="13"/>
        <v>16700</v>
      </c>
      <c r="O68" s="78">
        <v>16700</v>
      </c>
      <c r="P68" s="72">
        <v>25520</v>
      </c>
      <c r="Q68" s="256">
        <f t="shared" si="14"/>
        <v>5614.4</v>
      </c>
      <c r="R68" s="256">
        <f t="shared" si="15"/>
        <v>31134.400000000001</v>
      </c>
      <c r="S68" s="296"/>
      <c r="T68" s="3">
        <v>4</v>
      </c>
      <c r="U68" s="294"/>
    </row>
    <row r="69" spans="1:21" ht="15" customHeight="1" x14ac:dyDescent="0.35">
      <c r="A69" s="218" t="s">
        <v>2376</v>
      </c>
      <c r="B69" s="3">
        <v>62</v>
      </c>
      <c r="C69" s="18">
        <v>10128689</v>
      </c>
      <c r="D69" s="18" t="s">
        <v>541</v>
      </c>
      <c r="E69" s="19" t="s">
        <v>2219</v>
      </c>
      <c r="F69" s="12">
        <v>1</v>
      </c>
      <c r="G69" s="12" t="s">
        <v>0</v>
      </c>
      <c r="H69" s="148">
        <v>41456</v>
      </c>
      <c r="I69" s="8" t="s">
        <v>984</v>
      </c>
      <c r="J69" s="4" t="s">
        <v>1962</v>
      </c>
      <c r="K69" s="4" t="s">
        <v>988</v>
      </c>
      <c r="L69" s="4" t="s">
        <v>977</v>
      </c>
      <c r="M69" s="81">
        <f t="shared" si="6"/>
        <v>38037.449999999997</v>
      </c>
      <c r="N69" s="81">
        <f t="shared" si="13"/>
        <v>38037.449999999997</v>
      </c>
      <c r="O69" s="81">
        <v>38037.449999999997</v>
      </c>
      <c r="P69" s="72">
        <v>57120</v>
      </c>
      <c r="Q69" s="256">
        <f t="shared" si="14"/>
        <v>12566.4</v>
      </c>
      <c r="R69" s="256">
        <f t="shared" si="15"/>
        <v>69686.399999999994</v>
      </c>
      <c r="S69" s="296"/>
      <c r="T69" s="3">
        <v>4</v>
      </c>
      <c r="U69" s="294"/>
    </row>
    <row r="70" spans="1:21" ht="15" customHeight="1" x14ac:dyDescent="0.35">
      <c r="A70" s="218" t="s">
        <v>2377</v>
      </c>
      <c r="B70" s="3">
        <v>63</v>
      </c>
      <c r="C70" s="44">
        <v>102001344</v>
      </c>
      <c r="D70" s="18" t="s">
        <v>1468</v>
      </c>
      <c r="E70" s="19" t="s">
        <v>2219</v>
      </c>
      <c r="F70" s="12">
        <v>5</v>
      </c>
      <c r="G70" s="3" t="s">
        <v>0</v>
      </c>
      <c r="H70" s="39">
        <v>41891</v>
      </c>
      <c r="I70" s="27" t="s">
        <v>984</v>
      </c>
      <c r="J70" s="4" t="s">
        <v>1962</v>
      </c>
      <c r="K70" s="4" t="s">
        <v>988</v>
      </c>
      <c r="L70" s="29" t="s">
        <v>977</v>
      </c>
      <c r="M70" s="78">
        <f t="shared" si="6"/>
        <v>2188182.0499999998</v>
      </c>
      <c r="N70" s="78">
        <f t="shared" si="13"/>
        <v>437636.41</v>
      </c>
      <c r="O70" s="78">
        <v>2188182.0499999998</v>
      </c>
      <c r="P70" s="72">
        <v>3360620</v>
      </c>
      <c r="Q70" s="256">
        <f t="shared" si="14"/>
        <v>739336.4</v>
      </c>
      <c r="R70" s="256">
        <f t="shared" si="15"/>
        <v>4099956.4</v>
      </c>
      <c r="S70" s="296"/>
      <c r="T70" s="3">
        <v>4</v>
      </c>
      <c r="U70" s="294"/>
    </row>
    <row r="71" spans="1:21" ht="15" customHeight="1" x14ac:dyDescent="0.35">
      <c r="A71" s="218" t="s">
        <v>2378</v>
      </c>
      <c r="B71" s="3">
        <v>64</v>
      </c>
      <c r="C71" s="44">
        <v>10130301</v>
      </c>
      <c r="D71" s="18" t="s">
        <v>1469</v>
      </c>
      <c r="E71" s="19" t="s">
        <v>2219</v>
      </c>
      <c r="F71" s="12">
        <v>3</v>
      </c>
      <c r="G71" s="3" t="s">
        <v>0</v>
      </c>
      <c r="H71" s="39">
        <v>40511</v>
      </c>
      <c r="I71" s="27" t="s">
        <v>984</v>
      </c>
      <c r="J71" s="4" t="s">
        <v>1962</v>
      </c>
      <c r="K71" s="4" t="s">
        <v>988</v>
      </c>
      <c r="L71" s="29" t="s">
        <v>977</v>
      </c>
      <c r="M71" s="78">
        <f t="shared" si="6"/>
        <v>2467.0500000000002</v>
      </c>
      <c r="N71" s="78">
        <f t="shared" si="13"/>
        <v>822.35</v>
      </c>
      <c r="O71" s="78">
        <v>2467.0500000000002</v>
      </c>
      <c r="P71" s="72">
        <v>4090</v>
      </c>
      <c r="Q71" s="256">
        <f t="shared" si="14"/>
        <v>899.8</v>
      </c>
      <c r="R71" s="256">
        <f t="shared" si="15"/>
        <v>4989.8</v>
      </c>
      <c r="S71" s="296"/>
      <c r="T71" s="3">
        <v>4</v>
      </c>
      <c r="U71" s="294"/>
    </row>
    <row r="72" spans="1:21" ht="15" customHeight="1" x14ac:dyDescent="0.35">
      <c r="A72" s="218" t="s">
        <v>2379</v>
      </c>
      <c r="B72" s="3">
        <v>65</v>
      </c>
      <c r="C72" s="44">
        <v>10101085</v>
      </c>
      <c r="D72" s="18" t="s">
        <v>1043</v>
      </c>
      <c r="E72" s="19" t="s">
        <v>2219</v>
      </c>
      <c r="F72" s="12">
        <v>3</v>
      </c>
      <c r="G72" s="3" t="s">
        <v>0</v>
      </c>
      <c r="H72" s="39">
        <v>41470</v>
      </c>
      <c r="I72" s="27" t="s">
        <v>984</v>
      </c>
      <c r="J72" s="4" t="s">
        <v>1962</v>
      </c>
      <c r="K72" s="4" t="s">
        <v>988</v>
      </c>
      <c r="L72" s="29" t="s">
        <v>977</v>
      </c>
      <c r="M72" s="78">
        <f t="shared" si="6"/>
        <v>48875.59</v>
      </c>
      <c r="N72" s="78">
        <f t="shared" si="13"/>
        <v>16291.86</v>
      </c>
      <c r="O72" s="78">
        <v>48875.59</v>
      </c>
      <c r="P72" s="72">
        <v>73400</v>
      </c>
      <c r="Q72" s="256">
        <f t="shared" si="14"/>
        <v>16148</v>
      </c>
      <c r="R72" s="256">
        <f t="shared" si="15"/>
        <v>89548</v>
      </c>
      <c r="S72" s="296"/>
      <c r="T72" s="3">
        <v>4</v>
      </c>
      <c r="U72" s="294"/>
    </row>
    <row r="73" spans="1:21" ht="15" customHeight="1" x14ac:dyDescent="0.35">
      <c r="A73" s="218" t="s">
        <v>2380</v>
      </c>
      <c r="B73" s="3">
        <v>66</v>
      </c>
      <c r="C73" s="44">
        <v>102000855</v>
      </c>
      <c r="D73" s="18" t="s">
        <v>1470</v>
      </c>
      <c r="E73" s="19" t="s">
        <v>2219</v>
      </c>
      <c r="F73" s="12">
        <v>5</v>
      </c>
      <c r="G73" s="3" t="s">
        <v>0</v>
      </c>
      <c r="H73" s="39">
        <v>41891</v>
      </c>
      <c r="I73" s="27" t="s">
        <v>984</v>
      </c>
      <c r="J73" s="4" t="s">
        <v>1962</v>
      </c>
      <c r="K73" s="4" t="s">
        <v>988</v>
      </c>
      <c r="L73" s="29" t="s">
        <v>977</v>
      </c>
      <c r="M73" s="78">
        <f t="shared" si="6"/>
        <v>275353.84999999998</v>
      </c>
      <c r="N73" s="78">
        <f t="shared" si="13"/>
        <v>55070.77</v>
      </c>
      <c r="O73" s="78">
        <v>275353.84999999998</v>
      </c>
      <c r="P73" s="72">
        <v>422890</v>
      </c>
      <c r="Q73" s="256">
        <f t="shared" si="14"/>
        <v>93035.8</v>
      </c>
      <c r="R73" s="256">
        <f t="shared" si="15"/>
        <v>515925.8</v>
      </c>
      <c r="S73" s="296"/>
      <c r="T73" s="3">
        <v>4</v>
      </c>
      <c r="U73" s="294"/>
    </row>
    <row r="74" spans="1:21" ht="15" customHeight="1" x14ac:dyDescent="0.35">
      <c r="A74" s="218" t="s">
        <v>2381</v>
      </c>
      <c r="B74" s="3">
        <v>67</v>
      </c>
      <c r="C74" s="44">
        <v>10043067</v>
      </c>
      <c r="D74" s="18" t="s">
        <v>1471</v>
      </c>
      <c r="E74" s="19" t="s">
        <v>2219</v>
      </c>
      <c r="F74" s="12">
        <v>1</v>
      </c>
      <c r="G74" s="3" t="s">
        <v>0</v>
      </c>
      <c r="H74" s="39">
        <v>41316</v>
      </c>
      <c r="I74" s="27" t="s">
        <v>984</v>
      </c>
      <c r="J74" s="25" t="s">
        <v>2285</v>
      </c>
      <c r="K74" s="4" t="s">
        <v>988</v>
      </c>
      <c r="L74" s="29" t="s">
        <v>977</v>
      </c>
      <c r="M74" s="78">
        <f t="shared" si="6"/>
        <v>6805.74</v>
      </c>
      <c r="N74" s="78">
        <f t="shared" si="13"/>
        <v>6805.74</v>
      </c>
      <c r="O74" s="78">
        <v>6805.74</v>
      </c>
      <c r="P74" s="72">
        <v>10280</v>
      </c>
      <c r="Q74" s="256">
        <f t="shared" si="14"/>
        <v>2261.6</v>
      </c>
      <c r="R74" s="256">
        <f t="shared" si="15"/>
        <v>12541.6</v>
      </c>
      <c r="S74" s="296"/>
      <c r="T74" s="3">
        <v>4</v>
      </c>
      <c r="U74" s="294"/>
    </row>
    <row r="75" spans="1:21" ht="56.25" customHeight="1" x14ac:dyDescent="0.35">
      <c r="A75" s="218" t="s">
        <v>2382</v>
      </c>
      <c r="B75" s="3">
        <v>68</v>
      </c>
      <c r="C75" s="44">
        <v>10014422</v>
      </c>
      <c r="D75" s="18" t="s">
        <v>1898</v>
      </c>
      <c r="E75" s="19" t="s">
        <v>2219</v>
      </c>
      <c r="F75" s="12">
        <v>1</v>
      </c>
      <c r="G75" s="3" t="s">
        <v>0</v>
      </c>
      <c r="H75" s="39">
        <v>41402</v>
      </c>
      <c r="I75" s="27" t="s">
        <v>984</v>
      </c>
      <c r="J75" s="4" t="s">
        <v>4261</v>
      </c>
      <c r="K75" s="4" t="s">
        <v>988</v>
      </c>
      <c r="L75" s="29" t="s">
        <v>977</v>
      </c>
      <c r="M75" s="78">
        <f t="shared" si="6"/>
        <v>3384.04</v>
      </c>
      <c r="N75" s="78">
        <f t="shared" si="13"/>
        <v>3384.04</v>
      </c>
      <c r="O75" s="78">
        <v>3384.04</v>
      </c>
      <c r="P75" s="72">
        <v>5080</v>
      </c>
      <c r="Q75" s="256">
        <f t="shared" si="14"/>
        <v>1117.5999999999999</v>
      </c>
      <c r="R75" s="256">
        <f t="shared" si="15"/>
        <v>6197.6</v>
      </c>
      <c r="S75" s="296"/>
      <c r="T75" s="3">
        <v>4</v>
      </c>
      <c r="U75" s="294"/>
    </row>
    <row r="76" spans="1:21" ht="15" customHeight="1" x14ac:dyDescent="0.35">
      <c r="A76" s="218" t="s">
        <v>2383</v>
      </c>
      <c r="B76" s="3">
        <v>69</v>
      </c>
      <c r="C76" s="44">
        <v>10116894</v>
      </c>
      <c r="D76" s="18" t="s">
        <v>1899</v>
      </c>
      <c r="E76" s="19" t="s">
        <v>2219</v>
      </c>
      <c r="F76" s="12">
        <v>5</v>
      </c>
      <c r="G76" s="3" t="s">
        <v>0</v>
      </c>
      <c r="H76" s="39">
        <v>42004</v>
      </c>
      <c r="I76" s="27" t="s">
        <v>984</v>
      </c>
      <c r="J76" s="4" t="s">
        <v>1962</v>
      </c>
      <c r="K76" s="4" t="s">
        <v>988</v>
      </c>
      <c r="L76" s="29" t="s">
        <v>977</v>
      </c>
      <c r="M76" s="78">
        <f t="shared" si="6"/>
        <v>82982</v>
      </c>
      <c r="N76" s="100">
        <f t="shared" si="13"/>
        <v>16596.400000000001</v>
      </c>
      <c r="O76" s="78">
        <v>82982</v>
      </c>
      <c r="P76" s="72">
        <v>126790</v>
      </c>
      <c r="Q76" s="256">
        <f t="shared" si="14"/>
        <v>27893.8</v>
      </c>
      <c r="R76" s="256">
        <f t="shared" si="15"/>
        <v>154683.79999999999</v>
      </c>
      <c r="S76" s="296"/>
      <c r="T76" s="3">
        <v>4</v>
      </c>
      <c r="U76" s="294"/>
    </row>
    <row r="77" spans="1:21" ht="15" customHeight="1" x14ac:dyDescent="0.35">
      <c r="A77" s="218" t="s">
        <v>2384</v>
      </c>
      <c r="B77" s="3">
        <v>70</v>
      </c>
      <c r="C77" s="44">
        <v>10023227</v>
      </c>
      <c r="D77" s="18" t="s">
        <v>1900</v>
      </c>
      <c r="E77" s="19" t="s">
        <v>2219</v>
      </c>
      <c r="F77" s="12">
        <v>10</v>
      </c>
      <c r="G77" s="3" t="s">
        <v>0</v>
      </c>
      <c r="H77" s="39">
        <v>42004</v>
      </c>
      <c r="I77" s="27" t="s">
        <v>984</v>
      </c>
      <c r="J77" s="4" t="s">
        <v>1962</v>
      </c>
      <c r="K77" s="4" t="s">
        <v>988</v>
      </c>
      <c r="L77" s="29" t="s">
        <v>977</v>
      </c>
      <c r="M77" s="79">
        <f t="shared" si="6"/>
        <v>70485.2</v>
      </c>
      <c r="N77" s="79">
        <f t="shared" si="13"/>
        <v>7048.52</v>
      </c>
      <c r="O77" s="78">
        <v>70485.2</v>
      </c>
      <c r="P77" s="72">
        <v>107690</v>
      </c>
      <c r="Q77" s="256">
        <f t="shared" si="14"/>
        <v>23691.8</v>
      </c>
      <c r="R77" s="256">
        <f t="shared" si="15"/>
        <v>131381.79999999999</v>
      </c>
      <c r="S77" s="296"/>
      <c r="T77" s="3">
        <v>4</v>
      </c>
      <c r="U77" s="294"/>
    </row>
    <row r="78" spans="1:21" ht="15" customHeight="1" x14ac:dyDescent="0.35">
      <c r="A78" s="218" t="s">
        <v>2385</v>
      </c>
      <c r="B78" s="3">
        <v>71</v>
      </c>
      <c r="C78" s="44">
        <v>102001024</v>
      </c>
      <c r="D78" s="18" t="s">
        <v>1939</v>
      </c>
      <c r="E78" s="19" t="s">
        <v>2219</v>
      </c>
      <c r="F78" s="12">
        <v>1</v>
      </c>
      <c r="G78" s="3" t="s">
        <v>0</v>
      </c>
      <c r="H78" s="39">
        <v>41891</v>
      </c>
      <c r="I78" s="27" t="s">
        <v>984</v>
      </c>
      <c r="J78" s="4" t="s">
        <v>1962</v>
      </c>
      <c r="K78" s="4" t="s">
        <v>988</v>
      </c>
      <c r="L78" s="29" t="s">
        <v>977</v>
      </c>
      <c r="M78" s="79">
        <f t="shared" si="6"/>
        <v>182690.83</v>
      </c>
      <c r="N78" s="79">
        <f t="shared" si="13"/>
        <v>182690.83</v>
      </c>
      <c r="O78" s="78">
        <v>182690.83</v>
      </c>
      <c r="P78" s="72">
        <v>280580</v>
      </c>
      <c r="Q78" s="256">
        <f t="shared" si="14"/>
        <v>61727.6</v>
      </c>
      <c r="R78" s="256">
        <f t="shared" si="15"/>
        <v>342307.6</v>
      </c>
      <c r="S78" s="296"/>
      <c r="T78" s="3">
        <v>4</v>
      </c>
      <c r="U78" s="294"/>
    </row>
    <row r="79" spans="1:21" ht="15" customHeight="1" x14ac:dyDescent="0.35">
      <c r="A79" s="218" t="s">
        <v>2386</v>
      </c>
      <c r="B79" s="3">
        <v>72</v>
      </c>
      <c r="C79" s="44">
        <v>102001539</v>
      </c>
      <c r="D79" s="18" t="s">
        <v>1940</v>
      </c>
      <c r="E79" s="19" t="s">
        <v>2219</v>
      </c>
      <c r="F79" s="12">
        <v>4</v>
      </c>
      <c r="G79" s="3" t="s">
        <v>0</v>
      </c>
      <c r="H79" s="3">
        <v>2015</v>
      </c>
      <c r="I79" s="27" t="s">
        <v>984</v>
      </c>
      <c r="J79" s="4" t="s">
        <v>1962</v>
      </c>
      <c r="K79" s="4" t="s">
        <v>988</v>
      </c>
      <c r="L79" s="29" t="s">
        <v>977</v>
      </c>
      <c r="M79" s="79">
        <f t="shared" si="6"/>
        <v>116537.92</v>
      </c>
      <c r="N79" s="79">
        <f t="shared" si="13"/>
        <v>29134.48</v>
      </c>
      <c r="O79" s="78">
        <v>116537.92</v>
      </c>
      <c r="P79" s="72">
        <v>160190</v>
      </c>
      <c r="Q79" s="256">
        <f t="shared" si="14"/>
        <v>35241.800000000003</v>
      </c>
      <c r="R79" s="256">
        <f t="shared" si="15"/>
        <v>195431.8</v>
      </c>
      <c r="S79" s="296"/>
      <c r="T79" s="3">
        <v>4</v>
      </c>
      <c r="U79" s="294"/>
    </row>
    <row r="80" spans="1:21" ht="15" customHeight="1" x14ac:dyDescent="0.35">
      <c r="A80" s="218" t="s">
        <v>2387</v>
      </c>
      <c r="B80" s="3">
        <v>73</v>
      </c>
      <c r="C80" s="65">
        <v>10138855</v>
      </c>
      <c r="D80" s="8" t="s">
        <v>1930</v>
      </c>
      <c r="E80" s="19" t="s">
        <v>2219</v>
      </c>
      <c r="F80" s="92">
        <v>3</v>
      </c>
      <c r="G80" s="3" t="s">
        <v>0</v>
      </c>
      <c r="H80" s="40">
        <v>41365</v>
      </c>
      <c r="I80" s="27" t="s">
        <v>984</v>
      </c>
      <c r="J80" s="4" t="s">
        <v>1962</v>
      </c>
      <c r="K80" s="4" t="s">
        <v>988</v>
      </c>
      <c r="L80" s="29" t="s">
        <v>977</v>
      </c>
      <c r="M80" s="79">
        <f t="shared" si="6"/>
        <v>73304.25</v>
      </c>
      <c r="N80" s="79">
        <f t="shared" si="13"/>
        <v>24434.75</v>
      </c>
      <c r="O80" s="78">
        <v>73304.25</v>
      </c>
      <c r="P80" s="72">
        <v>109640</v>
      </c>
      <c r="Q80" s="256">
        <f t="shared" si="14"/>
        <v>24120.799999999999</v>
      </c>
      <c r="R80" s="256">
        <f t="shared" si="15"/>
        <v>133760.79999999999</v>
      </c>
      <c r="S80" s="296"/>
      <c r="T80" s="3">
        <v>4</v>
      </c>
      <c r="U80" s="294"/>
    </row>
    <row r="81" spans="1:21" ht="15" customHeight="1" x14ac:dyDescent="0.35">
      <c r="A81" s="218" t="s">
        <v>2388</v>
      </c>
      <c r="B81" s="3">
        <v>74</v>
      </c>
      <c r="C81" s="65">
        <v>102001131</v>
      </c>
      <c r="D81" s="8" t="s">
        <v>1931</v>
      </c>
      <c r="E81" s="19" t="s">
        <v>2219</v>
      </c>
      <c r="F81" s="92">
        <f>8-3</f>
        <v>5</v>
      </c>
      <c r="G81" s="3" t="s">
        <v>0</v>
      </c>
      <c r="H81" s="40">
        <v>41395</v>
      </c>
      <c r="I81" s="27" t="s">
        <v>984</v>
      </c>
      <c r="J81" s="41" t="s">
        <v>1972</v>
      </c>
      <c r="K81" s="4" t="s">
        <v>988</v>
      </c>
      <c r="L81" s="29" t="s">
        <v>977</v>
      </c>
      <c r="M81" s="79">
        <f t="shared" si="6"/>
        <v>1190000</v>
      </c>
      <c r="N81" s="79">
        <f t="shared" si="13"/>
        <v>238000</v>
      </c>
      <c r="O81" s="78">
        <f>1904000/8*5</f>
        <v>1190000</v>
      </c>
      <c r="P81" s="72">
        <v>1785610</v>
      </c>
      <c r="Q81" s="256">
        <f t="shared" si="14"/>
        <v>392834.2</v>
      </c>
      <c r="R81" s="256">
        <f t="shared" si="15"/>
        <v>2178444.2000000002</v>
      </c>
      <c r="S81" s="296"/>
      <c r="T81" s="3">
        <v>4</v>
      </c>
      <c r="U81" s="294"/>
    </row>
    <row r="82" spans="1:21" ht="15" customHeight="1" x14ac:dyDescent="0.35">
      <c r="A82" s="218" t="s">
        <v>2389</v>
      </c>
      <c r="B82" s="3">
        <v>75</v>
      </c>
      <c r="C82" s="65">
        <v>102001016</v>
      </c>
      <c r="D82" s="8" t="s">
        <v>1932</v>
      </c>
      <c r="E82" s="19" t="s">
        <v>2219</v>
      </c>
      <c r="F82" s="92">
        <v>7</v>
      </c>
      <c r="G82" s="3" t="s">
        <v>0</v>
      </c>
      <c r="H82" s="40">
        <v>41426</v>
      </c>
      <c r="I82" s="27" t="s">
        <v>984</v>
      </c>
      <c r="J82" s="4" t="s">
        <v>1962</v>
      </c>
      <c r="K82" s="4" t="s">
        <v>988</v>
      </c>
      <c r="L82" s="29" t="s">
        <v>977</v>
      </c>
      <c r="M82" s="79">
        <f t="shared" si="6"/>
        <v>3290000</v>
      </c>
      <c r="N82" s="79">
        <f t="shared" si="13"/>
        <v>470000</v>
      </c>
      <c r="O82" s="78">
        <v>3290000</v>
      </c>
      <c r="P82" s="72">
        <v>4930690</v>
      </c>
      <c r="Q82" s="256">
        <f t="shared" si="14"/>
        <v>1084751.8</v>
      </c>
      <c r="R82" s="256">
        <f t="shared" si="15"/>
        <v>6015441.7999999998</v>
      </c>
      <c r="S82" s="296"/>
      <c r="T82" s="3">
        <v>4</v>
      </c>
      <c r="U82" s="294"/>
    </row>
    <row r="83" spans="1:21" ht="15" customHeight="1" x14ac:dyDescent="0.35">
      <c r="A83" s="218" t="s">
        <v>2390</v>
      </c>
      <c r="B83" s="3">
        <v>76</v>
      </c>
      <c r="C83" s="44">
        <v>102000936</v>
      </c>
      <c r="D83" s="18" t="s">
        <v>1936</v>
      </c>
      <c r="E83" s="19" t="s">
        <v>2219</v>
      </c>
      <c r="F83" s="12">
        <v>3</v>
      </c>
      <c r="G83" s="3" t="s">
        <v>0</v>
      </c>
      <c r="H83" s="39">
        <v>41891</v>
      </c>
      <c r="I83" s="27" t="s">
        <v>984</v>
      </c>
      <c r="J83" s="4" t="s">
        <v>1962</v>
      </c>
      <c r="K83" s="4" t="s">
        <v>988</v>
      </c>
      <c r="L83" s="29" t="s">
        <v>977</v>
      </c>
      <c r="M83" s="87">
        <f t="shared" si="6"/>
        <v>135797.94</v>
      </c>
      <c r="N83" s="87">
        <f t="shared" si="13"/>
        <v>45265.98</v>
      </c>
      <c r="O83" s="90">
        <v>135797.94</v>
      </c>
      <c r="P83" s="72">
        <v>208560</v>
      </c>
      <c r="Q83" s="256">
        <f t="shared" si="14"/>
        <v>45883.199999999997</v>
      </c>
      <c r="R83" s="256">
        <f t="shared" si="15"/>
        <v>254443.2</v>
      </c>
      <c r="S83" s="296"/>
      <c r="T83" s="3">
        <v>4</v>
      </c>
      <c r="U83" s="294"/>
    </row>
    <row r="84" spans="1:21" ht="15" customHeight="1" x14ac:dyDescent="0.35">
      <c r="A84" s="218" t="s">
        <v>2391</v>
      </c>
      <c r="B84" s="3">
        <v>77</v>
      </c>
      <c r="C84" s="44">
        <v>10124618</v>
      </c>
      <c r="D84" s="18" t="s">
        <v>1937</v>
      </c>
      <c r="E84" s="19" t="s">
        <v>2219</v>
      </c>
      <c r="F84" s="12">
        <v>16</v>
      </c>
      <c r="G84" s="3" t="s">
        <v>0</v>
      </c>
      <c r="H84" s="39">
        <v>41414</v>
      </c>
      <c r="I84" s="27" t="s">
        <v>984</v>
      </c>
      <c r="J84" s="41" t="s">
        <v>1972</v>
      </c>
      <c r="K84" s="4" t="s">
        <v>988</v>
      </c>
      <c r="L84" s="29" t="s">
        <v>977</v>
      </c>
      <c r="M84" s="87">
        <f t="shared" si="6"/>
        <v>317742.15999999997</v>
      </c>
      <c r="N84" s="87">
        <f t="shared" si="13"/>
        <v>19858.89</v>
      </c>
      <c r="O84" s="90">
        <v>317742.15999999997</v>
      </c>
      <c r="P84" s="72">
        <v>476780</v>
      </c>
      <c r="Q84" s="256">
        <f t="shared" si="14"/>
        <v>104891.6</v>
      </c>
      <c r="R84" s="256">
        <f t="shared" si="15"/>
        <v>581671.6</v>
      </c>
      <c r="S84" s="296"/>
      <c r="T84" s="3">
        <v>4</v>
      </c>
      <c r="U84" s="294"/>
    </row>
    <row r="85" spans="1:21" ht="15" customHeight="1" x14ac:dyDescent="0.35">
      <c r="A85" s="218" t="s">
        <v>2392</v>
      </c>
      <c r="B85" s="3">
        <v>78</v>
      </c>
      <c r="C85" s="44">
        <v>102000603</v>
      </c>
      <c r="D85" s="18" t="s">
        <v>1938</v>
      </c>
      <c r="E85" s="19" t="s">
        <v>2219</v>
      </c>
      <c r="F85" s="12">
        <v>2</v>
      </c>
      <c r="G85" s="3" t="s">
        <v>0</v>
      </c>
      <c r="H85" s="39">
        <v>41891</v>
      </c>
      <c r="I85" s="27" t="s">
        <v>984</v>
      </c>
      <c r="J85" s="4" t="s">
        <v>1962</v>
      </c>
      <c r="K85" s="4" t="s">
        <v>988</v>
      </c>
      <c r="L85" s="29" t="s">
        <v>977</v>
      </c>
      <c r="M85" s="87">
        <f t="shared" si="6"/>
        <v>230879.5</v>
      </c>
      <c r="N85" s="87">
        <f t="shared" si="13"/>
        <v>115439.75</v>
      </c>
      <c r="O85" s="90">
        <v>230879.5</v>
      </c>
      <c r="P85" s="72">
        <v>354590</v>
      </c>
      <c r="Q85" s="256">
        <f t="shared" si="14"/>
        <v>78009.8</v>
      </c>
      <c r="R85" s="256">
        <f t="shared" si="15"/>
        <v>432599.8</v>
      </c>
      <c r="S85" s="297"/>
      <c r="T85" s="3">
        <v>4</v>
      </c>
      <c r="U85" s="294"/>
    </row>
    <row r="86" spans="1:21" ht="18" customHeight="1" x14ac:dyDescent="0.35">
      <c r="A86" s="218"/>
      <c r="B86" s="94"/>
      <c r="C86" s="44"/>
      <c r="D86" s="18"/>
      <c r="E86" s="18"/>
      <c r="F86" s="12"/>
      <c r="G86" s="3"/>
      <c r="H86" s="39"/>
      <c r="I86" s="27"/>
      <c r="J86" s="4"/>
      <c r="K86" s="4"/>
      <c r="L86" s="29"/>
      <c r="M86" s="87"/>
      <c r="N86" s="87"/>
      <c r="O86" s="110">
        <f t="shared" ref="O86:R86" si="16">SUM(O67:O85)</f>
        <v>8317965.5700000003</v>
      </c>
      <c r="P86" s="82">
        <f t="shared" si="16"/>
        <v>12573060</v>
      </c>
      <c r="Q86" s="279">
        <f t="shared" si="16"/>
        <v>2766073.2</v>
      </c>
      <c r="R86" s="279">
        <f t="shared" si="16"/>
        <v>15339133.199999999</v>
      </c>
      <c r="S86" s="286">
        <f>R86/100*10</f>
        <v>1533913.32</v>
      </c>
      <c r="T86" s="104">
        <v>4</v>
      </c>
      <c r="U86" s="295"/>
    </row>
    <row r="87" spans="1:21" ht="15" customHeight="1" x14ac:dyDescent="0.35">
      <c r="A87" s="218" t="s">
        <v>2393</v>
      </c>
      <c r="B87" s="3">
        <v>79</v>
      </c>
      <c r="C87" s="44">
        <v>10135434</v>
      </c>
      <c r="D87" s="18" t="s">
        <v>146</v>
      </c>
      <c r="E87" s="18" t="s">
        <v>2211</v>
      </c>
      <c r="F87" s="12">
        <v>1</v>
      </c>
      <c r="G87" s="3" t="s">
        <v>0</v>
      </c>
      <c r="H87" s="49" t="s">
        <v>2195</v>
      </c>
      <c r="I87" s="5" t="s">
        <v>2209</v>
      </c>
      <c r="J87" s="4" t="s">
        <v>1962</v>
      </c>
      <c r="K87" s="5" t="s">
        <v>988</v>
      </c>
      <c r="L87" s="29" t="s">
        <v>2143</v>
      </c>
      <c r="M87" s="79">
        <f t="shared" si="6"/>
        <v>23546.46</v>
      </c>
      <c r="N87" s="79">
        <f t="shared" ref="N87:N113" si="17">O87/F87</f>
        <v>23546.46</v>
      </c>
      <c r="O87" s="78">
        <v>23546.46</v>
      </c>
      <c r="P87" s="72">
        <v>25280</v>
      </c>
      <c r="Q87" s="256">
        <f t="shared" ref="Q87:Q113" si="18">R87-P87</f>
        <v>5561.6</v>
      </c>
      <c r="R87" s="256">
        <f t="shared" ref="R87:R113" si="19">P87*1.22</f>
        <v>30841.599999999999</v>
      </c>
      <c r="S87" s="289"/>
      <c r="T87" s="3">
        <v>5</v>
      </c>
      <c r="U87" s="292" t="s">
        <v>2308</v>
      </c>
    </row>
    <row r="88" spans="1:21" ht="15" customHeight="1" x14ac:dyDescent="0.35">
      <c r="A88" s="218" t="s">
        <v>2394</v>
      </c>
      <c r="B88" s="3">
        <v>80</v>
      </c>
      <c r="C88" s="44">
        <v>10135434</v>
      </c>
      <c r="D88" s="18" t="s">
        <v>146</v>
      </c>
      <c r="E88" s="18" t="s">
        <v>2216</v>
      </c>
      <c r="F88" s="12">
        <v>1</v>
      </c>
      <c r="G88" s="3" t="s">
        <v>0</v>
      </c>
      <c r="H88" s="49" t="s">
        <v>2195</v>
      </c>
      <c r="I88" s="5" t="s">
        <v>2209</v>
      </c>
      <c r="J88" s="4" t="s">
        <v>1962</v>
      </c>
      <c r="K88" s="5" t="s">
        <v>988</v>
      </c>
      <c r="L88" s="29" t="s">
        <v>2143</v>
      </c>
      <c r="M88" s="79">
        <f t="shared" si="6"/>
        <v>23546.46</v>
      </c>
      <c r="N88" s="79">
        <f t="shared" si="17"/>
        <v>23546.46</v>
      </c>
      <c r="O88" s="78">
        <v>23546.46</v>
      </c>
      <c r="P88" s="72">
        <v>25280</v>
      </c>
      <c r="Q88" s="256">
        <f t="shared" si="18"/>
        <v>5561.6</v>
      </c>
      <c r="R88" s="256">
        <f t="shared" si="19"/>
        <v>30841.599999999999</v>
      </c>
      <c r="S88" s="296"/>
      <c r="T88" s="3">
        <v>5</v>
      </c>
      <c r="U88" s="293"/>
    </row>
    <row r="89" spans="1:21" ht="15" customHeight="1" x14ac:dyDescent="0.35">
      <c r="A89" s="218" t="s">
        <v>2395</v>
      </c>
      <c r="B89" s="3">
        <v>81</v>
      </c>
      <c r="C89" s="44">
        <v>102002483</v>
      </c>
      <c r="D89" s="18" t="s">
        <v>147</v>
      </c>
      <c r="E89" s="18" t="s">
        <v>2211</v>
      </c>
      <c r="F89" s="12">
        <v>1</v>
      </c>
      <c r="G89" s="3" t="s">
        <v>0</v>
      </c>
      <c r="H89" s="49" t="s">
        <v>2195</v>
      </c>
      <c r="I89" s="5" t="s">
        <v>2209</v>
      </c>
      <c r="J89" s="4" t="s">
        <v>1962</v>
      </c>
      <c r="K89" s="5" t="s">
        <v>988</v>
      </c>
      <c r="L89" s="29" t="s">
        <v>2143</v>
      </c>
      <c r="M89" s="79">
        <f t="shared" si="6"/>
        <v>28999.14</v>
      </c>
      <c r="N89" s="79">
        <f t="shared" si="17"/>
        <v>28999.14</v>
      </c>
      <c r="O89" s="78">
        <v>28999.14</v>
      </c>
      <c r="P89" s="72">
        <v>31130</v>
      </c>
      <c r="Q89" s="256">
        <f t="shared" si="18"/>
        <v>6848.6</v>
      </c>
      <c r="R89" s="256">
        <f t="shared" si="19"/>
        <v>37978.6</v>
      </c>
      <c r="S89" s="296"/>
      <c r="T89" s="3">
        <v>5</v>
      </c>
      <c r="U89" s="293"/>
    </row>
    <row r="90" spans="1:21" ht="15" customHeight="1" x14ac:dyDescent="0.35">
      <c r="A90" s="218" t="s">
        <v>2396</v>
      </c>
      <c r="B90" s="3">
        <v>82</v>
      </c>
      <c r="C90" s="44">
        <v>10135434</v>
      </c>
      <c r="D90" s="18" t="s">
        <v>146</v>
      </c>
      <c r="E90" s="18" t="s">
        <v>711</v>
      </c>
      <c r="F90" s="12">
        <v>1</v>
      </c>
      <c r="G90" s="3" t="s">
        <v>0</v>
      </c>
      <c r="H90" s="49" t="s">
        <v>2195</v>
      </c>
      <c r="I90" s="5" t="s">
        <v>1003</v>
      </c>
      <c r="J90" s="4" t="s">
        <v>1962</v>
      </c>
      <c r="K90" s="4" t="s">
        <v>1971</v>
      </c>
      <c r="L90" s="3" t="s">
        <v>871</v>
      </c>
      <c r="M90" s="73">
        <f t="shared" si="6"/>
        <v>24527.65</v>
      </c>
      <c r="N90" s="73">
        <f t="shared" si="17"/>
        <v>24527.65</v>
      </c>
      <c r="O90" s="72">
        <v>24527.65</v>
      </c>
      <c r="P90" s="72">
        <v>26330</v>
      </c>
      <c r="Q90" s="256">
        <f t="shared" si="18"/>
        <v>5792.6</v>
      </c>
      <c r="R90" s="256">
        <f t="shared" si="19"/>
        <v>32122.6</v>
      </c>
      <c r="S90" s="296"/>
      <c r="T90" s="3">
        <v>5</v>
      </c>
      <c r="U90" s="293"/>
    </row>
    <row r="91" spans="1:21" ht="15" customHeight="1" x14ac:dyDescent="0.35">
      <c r="A91" s="218" t="s">
        <v>2397</v>
      </c>
      <c r="B91" s="3">
        <v>83</v>
      </c>
      <c r="C91" s="44">
        <v>102011853</v>
      </c>
      <c r="D91" s="18" t="s">
        <v>163</v>
      </c>
      <c r="E91" s="48" t="s">
        <v>2200</v>
      </c>
      <c r="F91" s="12">
        <v>1</v>
      </c>
      <c r="G91" s="3" t="s">
        <v>0</v>
      </c>
      <c r="H91" s="5">
        <v>42004</v>
      </c>
      <c r="I91" s="5" t="s">
        <v>1963</v>
      </c>
      <c r="J91" s="4" t="s">
        <v>1962</v>
      </c>
      <c r="K91" s="3" t="s">
        <v>163</v>
      </c>
      <c r="L91" s="5" t="s">
        <v>871</v>
      </c>
      <c r="M91" s="73">
        <f t="shared" si="6"/>
        <v>1686.44</v>
      </c>
      <c r="N91" s="73">
        <f t="shared" si="17"/>
        <v>1686.44</v>
      </c>
      <c r="O91" s="72">
        <v>1686.44</v>
      </c>
      <c r="P91" s="72">
        <v>1610</v>
      </c>
      <c r="Q91" s="256">
        <f t="shared" si="18"/>
        <v>354.2</v>
      </c>
      <c r="R91" s="256">
        <f t="shared" si="19"/>
        <v>1964.2</v>
      </c>
      <c r="S91" s="296"/>
      <c r="T91" s="3">
        <v>5</v>
      </c>
      <c r="U91" s="293"/>
    </row>
    <row r="92" spans="1:21" ht="15" customHeight="1" x14ac:dyDescent="0.35">
      <c r="A92" s="218" t="s">
        <v>2398</v>
      </c>
      <c r="B92" s="3">
        <v>84</v>
      </c>
      <c r="C92" s="44">
        <v>102001553</v>
      </c>
      <c r="D92" s="18" t="s">
        <v>339</v>
      </c>
      <c r="E92" s="18" t="s">
        <v>2201</v>
      </c>
      <c r="F92" s="12">
        <v>1</v>
      </c>
      <c r="G92" s="3" t="s">
        <v>0</v>
      </c>
      <c r="H92" s="5">
        <v>42824</v>
      </c>
      <c r="I92" s="5" t="s">
        <v>999</v>
      </c>
      <c r="J92" s="4" t="s">
        <v>1962</v>
      </c>
      <c r="K92" s="5" t="s">
        <v>988</v>
      </c>
      <c r="L92" s="5" t="s">
        <v>871</v>
      </c>
      <c r="M92" s="73">
        <f t="shared" si="6"/>
        <v>119148.3</v>
      </c>
      <c r="N92" s="73">
        <f t="shared" si="17"/>
        <v>119148.3</v>
      </c>
      <c r="O92" s="72">
        <v>119148.3</v>
      </c>
      <c r="P92" s="72">
        <v>96650</v>
      </c>
      <c r="Q92" s="256">
        <f t="shared" si="18"/>
        <v>21263</v>
      </c>
      <c r="R92" s="256">
        <f t="shared" si="19"/>
        <v>117913</v>
      </c>
      <c r="S92" s="296"/>
      <c r="T92" s="3">
        <v>5</v>
      </c>
      <c r="U92" s="293"/>
    </row>
    <row r="93" spans="1:21" ht="15" customHeight="1" x14ac:dyDescent="0.35">
      <c r="A93" s="218" t="s">
        <v>2399</v>
      </c>
      <c r="B93" s="3">
        <v>85</v>
      </c>
      <c r="C93" s="44">
        <v>10043068</v>
      </c>
      <c r="D93" s="18" t="s">
        <v>41</v>
      </c>
      <c r="E93" s="19" t="s">
        <v>2028</v>
      </c>
      <c r="F93" s="12">
        <v>1</v>
      </c>
      <c r="G93" s="3" t="s">
        <v>0</v>
      </c>
      <c r="H93" s="5">
        <v>41375</v>
      </c>
      <c r="I93" s="5" t="s">
        <v>998</v>
      </c>
      <c r="J93" s="5" t="s">
        <v>986</v>
      </c>
      <c r="K93" s="6" t="s">
        <v>41</v>
      </c>
      <c r="L93" s="6" t="s">
        <v>871</v>
      </c>
      <c r="M93" s="80">
        <f t="shared" si="6"/>
        <v>6141.21</v>
      </c>
      <c r="N93" s="80">
        <f t="shared" si="17"/>
        <v>6141.21</v>
      </c>
      <c r="O93" s="81">
        <v>6141.21</v>
      </c>
      <c r="P93" s="72">
        <v>5730</v>
      </c>
      <c r="Q93" s="256">
        <f t="shared" si="18"/>
        <v>1260.5999999999999</v>
      </c>
      <c r="R93" s="256">
        <f t="shared" si="19"/>
        <v>6990.6</v>
      </c>
      <c r="S93" s="296"/>
      <c r="T93" s="3">
        <v>5</v>
      </c>
      <c r="U93" s="293"/>
    </row>
    <row r="94" spans="1:21" ht="15" customHeight="1" x14ac:dyDescent="0.35">
      <c r="A94" s="218" t="s">
        <v>2400</v>
      </c>
      <c r="B94" s="3">
        <v>86</v>
      </c>
      <c r="C94" s="18">
        <v>10014422</v>
      </c>
      <c r="D94" s="18" t="s">
        <v>1898</v>
      </c>
      <c r="E94" s="18" t="s">
        <v>2227</v>
      </c>
      <c r="F94" s="12">
        <v>1</v>
      </c>
      <c r="G94" s="3" t="s">
        <v>0</v>
      </c>
      <c r="H94" s="3">
        <v>2014</v>
      </c>
      <c r="I94" s="13" t="s">
        <v>998</v>
      </c>
      <c r="J94" s="4" t="s">
        <v>1962</v>
      </c>
      <c r="K94" s="4" t="s">
        <v>988</v>
      </c>
      <c r="L94" s="5" t="s">
        <v>871</v>
      </c>
      <c r="M94" s="73">
        <f t="shared" si="6"/>
        <v>1572.88</v>
      </c>
      <c r="N94" s="73">
        <f t="shared" si="17"/>
        <v>1572.88</v>
      </c>
      <c r="O94" s="72">
        <v>1572.88</v>
      </c>
      <c r="P94" s="72">
        <v>1390</v>
      </c>
      <c r="Q94" s="256">
        <f t="shared" si="18"/>
        <v>305.8</v>
      </c>
      <c r="R94" s="256">
        <f t="shared" si="19"/>
        <v>1695.8</v>
      </c>
      <c r="S94" s="296"/>
      <c r="T94" s="3">
        <v>5</v>
      </c>
      <c r="U94" s="293"/>
    </row>
    <row r="95" spans="1:21" ht="15" customHeight="1" x14ac:dyDescent="0.35">
      <c r="A95" s="218" t="s">
        <v>2401</v>
      </c>
      <c r="B95" s="3">
        <v>87</v>
      </c>
      <c r="C95" s="45">
        <v>102000978</v>
      </c>
      <c r="D95" s="15" t="s">
        <v>607</v>
      </c>
      <c r="E95" s="18" t="s">
        <v>2236</v>
      </c>
      <c r="F95" s="12">
        <v>1</v>
      </c>
      <c r="G95" s="3" t="s">
        <v>0</v>
      </c>
      <c r="H95" s="5">
        <v>42004</v>
      </c>
      <c r="I95" s="30" t="s">
        <v>1003</v>
      </c>
      <c r="J95" s="4" t="s">
        <v>1962</v>
      </c>
      <c r="K95" s="14" t="s">
        <v>766</v>
      </c>
      <c r="L95" s="3" t="s">
        <v>871</v>
      </c>
      <c r="M95" s="73">
        <f t="shared" si="6"/>
        <v>491904</v>
      </c>
      <c r="N95" s="73">
        <f t="shared" si="17"/>
        <v>491904</v>
      </c>
      <c r="O95" s="72">
        <v>491904</v>
      </c>
      <c r="P95" s="72">
        <v>469060</v>
      </c>
      <c r="Q95" s="256">
        <f t="shared" si="18"/>
        <v>103193.2</v>
      </c>
      <c r="R95" s="256">
        <f t="shared" si="19"/>
        <v>572253.19999999995</v>
      </c>
      <c r="S95" s="296"/>
      <c r="T95" s="3">
        <v>5</v>
      </c>
      <c r="U95" s="293"/>
    </row>
    <row r="96" spans="1:21" ht="15" customHeight="1" x14ac:dyDescent="0.35">
      <c r="A96" s="218" t="s">
        <v>2402</v>
      </c>
      <c r="B96" s="3">
        <v>88</v>
      </c>
      <c r="C96" s="45">
        <v>102000795</v>
      </c>
      <c r="D96" s="15" t="s">
        <v>609</v>
      </c>
      <c r="E96" s="18" t="s">
        <v>2236</v>
      </c>
      <c r="F96" s="12">
        <v>1</v>
      </c>
      <c r="G96" s="3" t="s">
        <v>0</v>
      </c>
      <c r="H96" s="5">
        <v>42004</v>
      </c>
      <c r="I96" s="30" t="s">
        <v>1003</v>
      </c>
      <c r="J96" s="4" t="s">
        <v>1962</v>
      </c>
      <c r="K96" s="14" t="s">
        <v>767</v>
      </c>
      <c r="L96" s="3" t="s">
        <v>871</v>
      </c>
      <c r="M96" s="73">
        <f t="shared" si="6"/>
        <v>505960</v>
      </c>
      <c r="N96" s="73">
        <f t="shared" si="17"/>
        <v>505960</v>
      </c>
      <c r="O96" s="72">
        <v>505960</v>
      </c>
      <c r="P96" s="72">
        <v>482470</v>
      </c>
      <c r="Q96" s="256">
        <f t="shared" si="18"/>
        <v>106143.4</v>
      </c>
      <c r="R96" s="256">
        <f t="shared" si="19"/>
        <v>588613.4</v>
      </c>
      <c r="S96" s="296"/>
      <c r="T96" s="3">
        <v>5</v>
      </c>
      <c r="U96" s="293"/>
    </row>
    <row r="97" spans="1:21" ht="15" customHeight="1" x14ac:dyDescent="0.35">
      <c r="A97" s="218" t="s">
        <v>2403</v>
      </c>
      <c r="B97" s="3">
        <v>89</v>
      </c>
      <c r="C97" s="45">
        <v>102001048</v>
      </c>
      <c r="D97" s="15" t="s">
        <v>610</v>
      </c>
      <c r="E97" s="18" t="s">
        <v>2236</v>
      </c>
      <c r="F97" s="12">
        <v>1</v>
      </c>
      <c r="G97" s="3" t="s">
        <v>0</v>
      </c>
      <c r="H97" s="5">
        <v>42004</v>
      </c>
      <c r="I97" s="30" t="s">
        <v>1003</v>
      </c>
      <c r="J97" s="4" t="s">
        <v>1962</v>
      </c>
      <c r="K97" s="14" t="s">
        <v>768</v>
      </c>
      <c r="L97" s="3" t="s">
        <v>871</v>
      </c>
      <c r="M97" s="73">
        <f t="shared" ref="M97:M156" si="20">O97</f>
        <v>273280</v>
      </c>
      <c r="N97" s="73">
        <f t="shared" si="17"/>
        <v>273280</v>
      </c>
      <c r="O97" s="72">
        <v>273280</v>
      </c>
      <c r="P97" s="72">
        <v>260590</v>
      </c>
      <c r="Q97" s="256">
        <f t="shared" si="18"/>
        <v>57329.8</v>
      </c>
      <c r="R97" s="256">
        <f t="shared" si="19"/>
        <v>317919.8</v>
      </c>
      <c r="S97" s="296"/>
      <c r="T97" s="3">
        <v>5</v>
      </c>
      <c r="U97" s="293"/>
    </row>
    <row r="98" spans="1:21" ht="15" customHeight="1" x14ac:dyDescent="0.35">
      <c r="A98" s="218" t="s">
        <v>2404</v>
      </c>
      <c r="B98" s="3">
        <v>90</v>
      </c>
      <c r="C98" s="45">
        <v>102001084</v>
      </c>
      <c r="D98" s="15" t="s">
        <v>604</v>
      </c>
      <c r="E98" s="18" t="s">
        <v>711</v>
      </c>
      <c r="F98" s="12">
        <v>1</v>
      </c>
      <c r="G98" s="3" t="s">
        <v>0</v>
      </c>
      <c r="H98" s="5">
        <v>42004</v>
      </c>
      <c r="I98" s="30" t="s">
        <v>1003</v>
      </c>
      <c r="J98" s="4" t="s">
        <v>1962</v>
      </c>
      <c r="K98" s="14" t="s">
        <v>828</v>
      </c>
      <c r="L98" s="3" t="s">
        <v>871</v>
      </c>
      <c r="M98" s="73">
        <f t="shared" si="20"/>
        <v>73050</v>
      </c>
      <c r="N98" s="73">
        <f t="shared" si="17"/>
        <v>73050</v>
      </c>
      <c r="O98" s="72">
        <v>73050</v>
      </c>
      <c r="P98" s="72">
        <v>69660</v>
      </c>
      <c r="Q98" s="256">
        <f t="shared" si="18"/>
        <v>15325.2</v>
      </c>
      <c r="R98" s="256">
        <f t="shared" si="19"/>
        <v>84985.2</v>
      </c>
      <c r="S98" s="296"/>
      <c r="T98" s="3">
        <v>5</v>
      </c>
      <c r="U98" s="293"/>
    </row>
    <row r="99" spans="1:21" ht="15" customHeight="1" x14ac:dyDescent="0.35">
      <c r="A99" s="218" t="s">
        <v>2405</v>
      </c>
      <c r="B99" s="3">
        <v>91</v>
      </c>
      <c r="C99" s="45">
        <v>10105838</v>
      </c>
      <c r="D99" s="2" t="s">
        <v>605</v>
      </c>
      <c r="E99" s="18" t="s">
        <v>711</v>
      </c>
      <c r="F99" s="12">
        <v>1</v>
      </c>
      <c r="G99" s="3" t="s">
        <v>0</v>
      </c>
      <c r="H99" s="5">
        <v>42004</v>
      </c>
      <c r="I99" s="30" t="s">
        <v>1003</v>
      </c>
      <c r="J99" s="4" t="s">
        <v>1962</v>
      </c>
      <c r="K99" s="14" t="s">
        <v>829</v>
      </c>
      <c r="L99" s="3" t="s">
        <v>871</v>
      </c>
      <c r="M99" s="73">
        <f t="shared" si="20"/>
        <v>12777.7</v>
      </c>
      <c r="N99" s="73">
        <f t="shared" si="17"/>
        <v>12777.7</v>
      </c>
      <c r="O99" s="72">
        <v>12777.7</v>
      </c>
      <c r="P99" s="72">
        <v>12180</v>
      </c>
      <c r="Q99" s="256">
        <f t="shared" si="18"/>
        <v>2679.6</v>
      </c>
      <c r="R99" s="256">
        <f t="shared" si="19"/>
        <v>14859.6</v>
      </c>
      <c r="S99" s="296"/>
      <c r="T99" s="3">
        <v>5</v>
      </c>
      <c r="U99" s="293"/>
    </row>
    <row r="100" spans="1:21" ht="15" customHeight="1" x14ac:dyDescent="0.35">
      <c r="A100" s="218" t="s">
        <v>2406</v>
      </c>
      <c r="B100" s="3">
        <v>92</v>
      </c>
      <c r="C100" s="45">
        <v>10105837</v>
      </c>
      <c r="D100" s="2" t="s">
        <v>606</v>
      </c>
      <c r="E100" s="18" t="s">
        <v>711</v>
      </c>
      <c r="F100" s="12">
        <v>1</v>
      </c>
      <c r="G100" s="3" t="s">
        <v>0</v>
      </c>
      <c r="H100" s="5">
        <v>42004</v>
      </c>
      <c r="I100" s="30" t="s">
        <v>1003</v>
      </c>
      <c r="J100" s="4" t="s">
        <v>1962</v>
      </c>
      <c r="K100" s="14" t="s">
        <v>830</v>
      </c>
      <c r="L100" s="3" t="s">
        <v>871</v>
      </c>
      <c r="M100" s="73">
        <f t="shared" si="20"/>
        <v>12870.25</v>
      </c>
      <c r="N100" s="73">
        <f t="shared" si="17"/>
        <v>12870.25</v>
      </c>
      <c r="O100" s="72">
        <v>12870.25</v>
      </c>
      <c r="P100" s="72">
        <v>12270</v>
      </c>
      <c r="Q100" s="256">
        <f t="shared" si="18"/>
        <v>2699.4</v>
      </c>
      <c r="R100" s="256">
        <f t="shared" si="19"/>
        <v>14969.4</v>
      </c>
      <c r="S100" s="296"/>
      <c r="T100" s="3">
        <v>5</v>
      </c>
      <c r="U100" s="293"/>
    </row>
    <row r="101" spans="1:21" ht="15" customHeight="1" x14ac:dyDescent="0.35">
      <c r="A101" s="218" t="s">
        <v>2407</v>
      </c>
      <c r="B101" s="3">
        <v>93</v>
      </c>
      <c r="C101" s="45">
        <v>10090466</v>
      </c>
      <c r="D101" s="2" t="s">
        <v>608</v>
      </c>
      <c r="E101" s="18" t="s">
        <v>711</v>
      </c>
      <c r="F101" s="12">
        <v>1</v>
      </c>
      <c r="G101" s="3" t="s">
        <v>0</v>
      </c>
      <c r="H101" s="5">
        <v>42004</v>
      </c>
      <c r="I101" s="30" t="s">
        <v>1003</v>
      </c>
      <c r="J101" s="4" t="s">
        <v>1962</v>
      </c>
      <c r="K101" s="14" t="s">
        <v>662</v>
      </c>
      <c r="L101" s="3" t="s">
        <v>871</v>
      </c>
      <c r="M101" s="73">
        <f t="shared" si="20"/>
        <v>13596.11</v>
      </c>
      <c r="N101" s="73">
        <f t="shared" si="17"/>
        <v>13596.11</v>
      </c>
      <c r="O101" s="72">
        <v>13596.11</v>
      </c>
      <c r="P101" s="72">
        <v>12960</v>
      </c>
      <c r="Q101" s="256">
        <f t="shared" si="18"/>
        <v>2851.2</v>
      </c>
      <c r="R101" s="256">
        <f t="shared" si="19"/>
        <v>15811.2</v>
      </c>
      <c r="S101" s="296"/>
      <c r="T101" s="3">
        <v>5</v>
      </c>
      <c r="U101" s="293"/>
    </row>
    <row r="102" spans="1:21" ht="15" customHeight="1" x14ac:dyDescent="0.35">
      <c r="A102" s="218" t="s">
        <v>2408</v>
      </c>
      <c r="B102" s="3">
        <v>94</v>
      </c>
      <c r="C102" s="45">
        <v>10018119</v>
      </c>
      <c r="D102" s="2" t="s">
        <v>611</v>
      </c>
      <c r="E102" s="18" t="s">
        <v>711</v>
      </c>
      <c r="F102" s="12">
        <v>1</v>
      </c>
      <c r="G102" s="3" t="s">
        <v>0</v>
      </c>
      <c r="H102" s="5">
        <v>42004</v>
      </c>
      <c r="I102" s="30" t="s">
        <v>1003</v>
      </c>
      <c r="J102" s="4" t="s">
        <v>1962</v>
      </c>
      <c r="K102" s="14" t="s">
        <v>831</v>
      </c>
      <c r="L102" s="3" t="s">
        <v>871</v>
      </c>
      <c r="M102" s="73">
        <f t="shared" si="20"/>
        <v>4230.99</v>
      </c>
      <c r="N102" s="73">
        <f t="shared" si="17"/>
        <v>4230.99</v>
      </c>
      <c r="O102" s="72">
        <v>4230.99</v>
      </c>
      <c r="P102" s="72">
        <v>4030</v>
      </c>
      <c r="Q102" s="256">
        <f t="shared" si="18"/>
        <v>886.6</v>
      </c>
      <c r="R102" s="256">
        <f t="shared" si="19"/>
        <v>4916.6000000000004</v>
      </c>
      <c r="S102" s="296"/>
      <c r="T102" s="3">
        <v>5</v>
      </c>
      <c r="U102" s="293"/>
    </row>
    <row r="103" spans="1:21" ht="15" customHeight="1" x14ac:dyDescent="0.35">
      <c r="A103" s="218" t="s">
        <v>2409</v>
      </c>
      <c r="B103" s="3">
        <v>95</v>
      </c>
      <c r="C103" s="58">
        <v>102001048</v>
      </c>
      <c r="D103" s="21" t="s">
        <v>928</v>
      </c>
      <c r="E103" s="18" t="s">
        <v>2201</v>
      </c>
      <c r="F103" s="7">
        <v>1</v>
      </c>
      <c r="G103" s="3" t="s">
        <v>0</v>
      </c>
      <c r="H103" s="50" t="s">
        <v>2195</v>
      </c>
      <c r="I103" s="4" t="s">
        <v>999</v>
      </c>
      <c r="J103" s="4" t="s">
        <v>1962</v>
      </c>
      <c r="K103" s="4" t="s">
        <v>988</v>
      </c>
      <c r="L103" s="5" t="s">
        <v>871</v>
      </c>
      <c r="M103" s="73">
        <f t="shared" si="20"/>
        <v>273280</v>
      </c>
      <c r="N103" s="73">
        <f t="shared" si="17"/>
        <v>273280</v>
      </c>
      <c r="O103" s="72">
        <v>273280</v>
      </c>
      <c r="P103" s="72">
        <v>260590</v>
      </c>
      <c r="Q103" s="256">
        <f t="shared" si="18"/>
        <v>57329.8</v>
      </c>
      <c r="R103" s="256">
        <f t="shared" si="19"/>
        <v>317919.8</v>
      </c>
      <c r="S103" s="296"/>
      <c r="T103" s="3">
        <v>5</v>
      </c>
      <c r="U103" s="293"/>
    </row>
    <row r="104" spans="1:21" ht="16.5" customHeight="1" x14ac:dyDescent="0.35">
      <c r="A104" s="218" t="s">
        <v>2410</v>
      </c>
      <c r="B104" s="3">
        <v>96</v>
      </c>
      <c r="C104" s="58">
        <v>102001516</v>
      </c>
      <c r="D104" s="21" t="s">
        <v>929</v>
      </c>
      <c r="E104" s="18" t="s">
        <v>2197</v>
      </c>
      <c r="F104" s="7">
        <v>1</v>
      </c>
      <c r="G104" s="3" t="s">
        <v>0</v>
      </c>
      <c r="H104" s="50" t="s">
        <v>2195</v>
      </c>
      <c r="I104" s="4" t="s">
        <v>999</v>
      </c>
      <c r="J104" s="31" t="s">
        <v>986</v>
      </c>
      <c r="K104" s="4" t="s">
        <v>988</v>
      </c>
      <c r="L104" s="5" t="s">
        <v>871</v>
      </c>
      <c r="M104" s="73">
        <f t="shared" si="20"/>
        <v>55760</v>
      </c>
      <c r="N104" s="73">
        <f t="shared" si="17"/>
        <v>55760</v>
      </c>
      <c r="O104" s="72">
        <v>55760</v>
      </c>
      <c r="P104" s="72">
        <v>59860</v>
      </c>
      <c r="Q104" s="256">
        <f t="shared" si="18"/>
        <v>13169.2</v>
      </c>
      <c r="R104" s="256">
        <f t="shared" si="19"/>
        <v>73029.2</v>
      </c>
      <c r="S104" s="296"/>
      <c r="T104" s="3">
        <v>5</v>
      </c>
      <c r="U104" s="293"/>
    </row>
    <row r="105" spans="1:21" ht="15" customHeight="1" x14ac:dyDescent="0.35">
      <c r="A105" s="218" t="s">
        <v>2411</v>
      </c>
      <c r="B105" s="3">
        <v>97</v>
      </c>
      <c r="C105" s="44">
        <v>10090852</v>
      </c>
      <c r="D105" s="18" t="s">
        <v>1295</v>
      </c>
      <c r="E105" s="18" t="s">
        <v>2210</v>
      </c>
      <c r="F105" s="12">
        <v>1</v>
      </c>
      <c r="G105" s="3" t="s">
        <v>0</v>
      </c>
      <c r="H105" s="3">
        <v>2014</v>
      </c>
      <c r="I105" s="5" t="s">
        <v>2209</v>
      </c>
      <c r="J105" s="4" t="s">
        <v>1962</v>
      </c>
      <c r="K105" s="49" t="s">
        <v>988</v>
      </c>
      <c r="L105" s="6" t="s">
        <v>871</v>
      </c>
      <c r="M105" s="80">
        <f t="shared" si="20"/>
        <v>1939.06</v>
      </c>
      <c r="N105" s="80">
        <f t="shared" si="17"/>
        <v>1939.06</v>
      </c>
      <c r="O105" s="81">
        <v>1939.06</v>
      </c>
      <c r="P105" s="72">
        <v>1840</v>
      </c>
      <c r="Q105" s="256">
        <f t="shared" si="18"/>
        <v>404.8</v>
      </c>
      <c r="R105" s="256">
        <f t="shared" si="19"/>
        <v>2244.8000000000002</v>
      </c>
      <c r="S105" s="296"/>
      <c r="T105" s="3">
        <v>5</v>
      </c>
      <c r="U105" s="293"/>
    </row>
    <row r="106" spans="1:21" ht="15" customHeight="1" x14ac:dyDescent="0.35">
      <c r="A106" s="218" t="s">
        <v>2412</v>
      </c>
      <c r="B106" s="3">
        <v>98</v>
      </c>
      <c r="C106" s="44">
        <v>10019600</v>
      </c>
      <c r="D106" s="18" t="s">
        <v>1299</v>
      </c>
      <c r="E106" s="18" t="s">
        <v>2211</v>
      </c>
      <c r="F106" s="12">
        <v>1</v>
      </c>
      <c r="G106" s="3" t="s">
        <v>0</v>
      </c>
      <c r="H106" s="3">
        <v>2014</v>
      </c>
      <c r="I106" s="5" t="s">
        <v>2209</v>
      </c>
      <c r="J106" s="4" t="s">
        <v>1962</v>
      </c>
      <c r="K106" s="49" t="s">
        <v>988</v>
      </c>
      <c r="L106" s="6" t="s">
        <v>871</v>
      </c>
      <c r="M106" s="80">
        <f t="shared" si="20"/>
        <v>9780.8799999999992</v>
      </c>
      <c r="N106" s="80">
        <f t="shared" si="17"/>
        <v>9780.8799999999992</v>
      </c>
      <c r="O106" s="81">
        <v>9780.8799999999992</v>
      </c>
      <c r="P106" s="72">
        <v>9300</v>
      </c>
      <c r="Q106" s="256">
        <f t="shared" si="18"/>
        <v>2046</v>
      </c>
      <c r="R106" s="256">
        <f t="shared" si="19"/>
        <v>11346</v>
      </c>
      <c r="S106" s="296"/>
      <c r="T106" s="3">
        <v>5</v>
      </c>
      <c r="U106" s="293"/>
    </row>
    <row r="107" spans="1:21" ht="15" customHeight="1" x14ac:dyDescent="0.35">
      <c r="A107" s="218" t="s">
        <v>2413</v>
      </c>
      <c r="B107" s="3">
        <v>99</v>
      </c>
      <c r="C107" s="44">
        <v>10007268</v>
      </c>
      <c r="D107" s="18" t="s">
        <v>35</v>
      </c>
      <c r="E107" s="19" t="s">
        <v>2219</v>
      </c>
      <c r="F107" s="12">
        <f>2-1</f>
        <v>1</v>
      </c>
      <c r="G107" s="3" t="s">
        <v>0</v>
      </c>
      <c r="H107" s="5">
        <v>41962</v>
      </c>
      <c r="I107" s="27" t="s">
        <v>984</v>
      </c>
      <c r="J107" s="4" t="s">
        <v>1962</v>
      </c>
      <c r="K107" s="5" t="s">
        <v>2053</v>
      </c>
      <c r="L107" s="5" t="s">
        <v>2147</v>
      </c>
      <c r="M107" s="73">
        <f t="shared" si="20"/>
        <v>877.71</v>
      </c>
      <c r="N107" s="73">
        <f t="shared" si="17"/>
        <v>877.71</v>
      </c>
      <c r="O107" s="72">
        <f>1755.42/2*1</f>
        <v>877.71</v>
      </c>
      <c r="P107" s="72">
        <v>1220</v>
      </c>
      <c r="Q107" s="256">
        <f t="shared" si="18"/>
        <v>268.39999999999998</v>
      </c>
      <c r="R107" s="256">
        <f t="shared" si="19"/>
        <v>1488.4</v>
      </c>
      <c r="S107" s="296"/>
      <c r="T107" s="3">
        <v>5</v>
      </c>
      <c r="U107" s="293"/>
    </row>
    <row r="108" spans="1:21" ht="15" customHeight="1" x14ac:dyDescent="0.35">
      <c r="A108" s="218" t="s">
        <v>2414</v>
      </c>
      <c r="B108" s="3">
        <v>100</v>
      </c>
      <c r="C108" s="58">
        <v>102001186</v>
      </c>
      <c r="D108" s="21" t="s">
        <v>923</v>
      </c>
      <c r="E108" s="18" t="s">
        <v>2197</v>
      </c>
      <c r="F108" s="7">
        <v>1</v>
      </c>
      <c r="G108" s="3" t="s">
        <v>0</v>
      </c>
      <c r="H108" s="50" t="s">
        <v>2195</v>
      </c>
      <c r="I108" s="4" t="s">
        <v>999</v>
      </c>
      <c r="J108" s="4" t="s">
        <v>1962</v>
      </c>
      <c r="K108" s="4" t="s">
        <v>988</v>
      </c>
      <c r="L108" s="5" t="s">
        <v>871</v>
      </c>
      <c r="M108" s="72">
        <f t="shared" si="20"/>
        <v>459032</v>
      </c>
      <c r="N108" s="101">
        <f t="shared" si="17"/>
        <v>459032</v>
      </c>
      <c r="O108" s="72">
        <v>459032</v>
      </c>
      <c r="P108" s="72">
        <v>492800</v>
      </c>
      <c r="Q108" s="256">
        <f t="shared" si="18"/>
        <v>108416</v>
      </c>
      <c r="R108" s="256">
        <f t="shared" si="19"/>
        <v>601216</v>
      </c>
      <c r="S108" s="296"/>
      <c r="T108" s="3">
        <v>5</v>
      </c>
      <c r="U108" s="293"/>
    </row>
    <row r="109" spans="1:21" ht="15" customHeight="1" x14ac:dyDescent="0.35">
      <c r="A109" s="218" t="s">
        <v>2415</v>
      </c>
      <c r="B109" s="3">
        <v>101</v>
      </c>
      <c r="C109" s="58">
        <v>102001328</v>
      </c>
      <c r="D109" s="21" t="s">
        <v>924</v>
      </c>
      <c r="E109" s="18" t="s">
        <v>2197</v>
      </c>
      <c r="F109" s="22">
        <v>2</v>
      </c>
      <c r="G109" s="3" t="s">
        <v>0</v>
      </c>
      <c r="H109" s="50" t="s">
        <v>2195</v>
      </c>
      <c r="I109" s="4" t="s">
        <v>999</v>
      </c>
      <c r="J109" s="31" t="s">
        <v>986</v>
      </c>
      <c r="K109" s="4" t="s">
        <v>988</v>
      </c>
      <c r="L109" s="5" t="s">
        <v>871</v>
      </c>
      <c r="M109" s="73">
        <f t="shared" si="20"/>
        <v>289833.59999999998</v>
      </c>
      <c r="N109" s="73">
        <f t="shared" si="17"/>
        <v>144916.79999999999</v>
      </c>
      <c r="O109" s="72">
        <v>289833.59999999998</v>
      </c>
      <c r="P109" s="72">
        <v>311160</v>
      </c>
      <c r="Q109" s="256">
        <f t="shared" si="18"/>
        <v>68455.199999999997</v>
      </c>
      <c r="R109" s="256">
        <f t="shared" si="19"/>
        <v>379615.2</v>
      </c>
      <c r="S109" s="296"/>
      <c r="T109" s="3">
        <v>5</v>
      </c>
      <c r="U109" s="293"/>
    </row>
    <row r="110" spans="1:21" ht="15" customHeight="1" x14ac:dyDescent="0.35">
      <c r="A110" s="218" t="s">
        <v>2416</v>
      </c>
      <c r="B110" s="3">
        <v>102</v>
      </c>
      <c r="C110" s="58">
        <v>102001279</v>
      </c>
      <c r="D110" s="21" t="s">
        <v>925</v>
      </c>
      <c r="E110" s="18" t="s">
        <v>2197</v>
      </c>
      <c r="F110" s="7">
        <v>1</v>
      </c>
      <c r="G110" s="3" t="s">
        <v>0</v>
      </c>
      <c r="H110" s="50" t="s">
        <v>2195</v>
      </c>
      <c r="I110" s="4" t="s">
        <v>999</v>
      </c>
      <c r="J110" s="31" t="s">
        <v>986</v>
      </c>
      <c r="K110" s="4" t="s">
        <v>988</v>
      </c>
      <c r="L110" s="5" t="s">
        <v>871</v>
      </c>
      <c r="M110" s="73">
        <f t="shared" si="20"/>
        <v>224448</v>
      </c>
      <c r="N110" s="73">
        <f t="shared" si="17"/>
        <v>224448</v>
      </c>
      <c r="O110" s="72">
        <v>224448</v>
      </c>
      <c r="P110" s="72">
        <v>240960</v>
      </c>
      <c r="Q110" s="256">
        <f t="shared" si="18"/>
        <v>53011.199999999997</v>
      </c>
      <c r="R110" s="256">
        <f t="shared" si="19"/>
        <v>293971.20000000001</v>
      </c>
      <c r="S110" s="296"/>
      <c r="T110" s="3">
        <v>5</v>
      </c>
      <c r="U110" s="293"/>
    </row>
    <row r="111" spans="1:21" ht="15" customHeight="1" x14ac:dyDescent="0.35">
      <c r="A111" s="218" t="s">
        <v>2417</v>
      </c>
      <c r="B111" s="3">
        <v>103</v>
      </c>
      <c r="C111" s="58">
        <v>102001374</v>
      </c>
      <c r="D111" s="21" t="s">
        <v>926</v>
      </c>
      <c r="E111" s="18" t="s">
        <v>2197</v>
      </c>
      <c r="F111" s="22">
        <v>2</v>
      </c>
      <c r="G111" s="3" t="s">
        <v>0</v>
      </c>
      <c r="H111" s="50" t="s">
        <v>2195</v>
      </c>
      <c r="I111" s="4" t="s">
        <v>999</v>
      </c>
      <c r="J111" s="4" t="s">
        <v>1962</v>
      </c>
      <c r="K111" s="4" t="s">
        <v>988</v>
      </c>
      <c r="L111" s="5" t="s">
        <v>871</v>
      </c>
      <c r="M111" s="73">
        <f t="shared" si="20"/>
        <v>130144</v>
      </c>
      <c r="N111" s="73">
        <f t="shared" si="17"/>
        <v>65072</v>
      </c>
      <c r="O111" s="72">
        <v>130144</v>
      </c>
      <c r="P111" s="72">
        <v>139720</v>
      </c>
      <c r="Q111" s="256">
        <f t="shared" si="18"/>
        <v>30738.400000000001</v>
      </c>
      <c r="R111" s="256">
        <f t="shared" si="19"/>
        <v>170458.4</v>
      </c>
      <c r="S111" s="296"/>
      <c r="T111" s="3">
        <v>5</v>
      </c>
      <c r="U111" s="293"/>
    </row>
    <row r="112" spans="1:21" ht="15" customHeight="1" x14ac:dyDescent="0.35">
      <c r="A112" s="218" t="s">
        <v>2418</v>
      </c>
      <c r="B112" s="3">
        <v>104</v>
      </c>
      <c r="C112" s="58">
        <v>102000961</v>
      </c>
      <c r="D112" s="21" t="s">
        <v>927</v>
      </c>
      <c r="E112" s="18" t="s">
        <v>2197</v>
      </c>
      <c r="F112" s="22">
        <v>2</v>
      </c>
      <c r="G112" s="3" t="s">
        <v>0</v>
      </c>
      <c r="H112" s="50" t="s">
        <v>2195</v>
      </c>
      <c r="I112" s="4" t="s">
        <v>999</v>
      </c>
      <c r="J112" s="31" t="s">
        <v>986</v>
      </c>
      <c r="K112" s="4" t="s">
        <v>988</v>
      </c>
      <c r="L112" s="5" t="s">
        <v>871</v>
      </c>
      <c r="M112" s="73">
        <f t="shared" si="20"/>
        <v>132966.39999999999</v>
      </c>
      <c r="N112" s="73">
        <f t="shared" si="17"/>
        <v>66483.199999999997</v>
      </c>
      <c r="O112" s="72">
        <v>132966.39999999999</v>
      </c>
      <c r="P112" s="72">
        <v>142750</v>
      </c>
      <c r="Q112" s="256">
        <f t="shared" si="18"/>
        <v>31405</v>
      </c>
      <c r="R112" s="256">
        <f t="shared" si="19"/>
        <v>174155</v>
      </c>
      <c r="S112" s="296"/>
      <c r="T112" s="3">
        <v>5</v>
      </c>
      <c r="U112" s="293"/>
    </row>
    <row r="113" spans="1:22" ht="37.5" customHeight="1" x14ac:dyDescent="0.35">
      <c r="A113" s="218" t="s">
        <v>2419</v>
      </c>
      <c r="B113" s="3">
        <v>105</v>
      </c>
      <c r="C113" s="44">
        <v>10008919</v>
      </c>
      <c r="D113" s="18" t="s">
        <v>63</v>
      </c>
      <c r="E113" s="19" t="s">
        <v>2219</v>
      </c>
      <c r="F113" s="12">
        <v>4</v>
      </c>
      <c r="G113" s="3" t="s">
        <v>0</v>
      </c>
      <c r="H113" s="49">
        <v>2014</v>
      </c>
      <c r="I113" s="27" t="s">
        <v>984</v>
      </c>
      <c r="J113" s="14" t="s">
        <v>2291</v>
      </c>
      <c r="K113" s="49" t="s">
        <v>2058</v>
      </c>
      <c r="L113" s="35" t="s">
        <v>1964</v>
      </c>
      <c r="M113" s="98">
        <f t="shared" si="20"/>
        <v>28952.16</v>
      </c>
      <c r="N113" s="98">
        <f t="shared" si="17"/>
        <v>7238.04</v>
      </c>
      <c r="O113" s="89">
        <v>28952.16</v>
      </c>
      <c r="P113" s="72">
        <v>27520</v>
      </c>
      <c r="Q113" s="256">
        <f t="shared" si="18"/>
        <v>6054.4</v>
      </c>
      <c r="R113" s="256">
        <f t="shared" si="19"/>
        <v>33574.400000000001</v>
      </c>
      <c r="S113" s="297"/>
      <c r="T113" s="3">
        <v>5</v>
      </c>
      <c r="U113" s="293"/>
    </row>
    <row r="114" spans="1:22" ht="18" customHeight="1" x14ac:dyDescent="0.35">
      <c r="A114" s="218"/>
      <c r="B114" s="94"/>
      <c r="C114" s="44"/>
      <c r="D114" s="18"/>
      <c r="E114" s="18"/>
      <c r="F114" s="12"/>
      <c r="G114" s="3"/>
      <c r="H114" s="5"/>
      <c r="I114" s="27"/>
      <c r="J114" s="5"/>
      <c r="K114" s="5"/>
      <c r="L114" s="6"/>
      <c r="M114" s="98"/>
      <c r="N114" s="98"/>
      <c r="O114" s="111">
        <f t="shared" ref="O114:R114" si="21">SUM(O87:O113)</f>
        <v>3223851.4</v>
      </c>
      <c r="P114" s="82">
        <f t="shared" si="21"/>
        <v>3224340</v>
      </c>
      <c r="Q114" s="279">
        <f t="shared" si="21"/>
        <v>709354.8</v>
      </c>
      <c r="R114" s="279">
        <f t="shared" si="21"/>
        <v>3933694.8</v>
      </c>
      <c r="S114" s="286">
        <f>R114/100*10</f>
        <v>393369.48</v>
      </c>
      <c r="T114" s="104">
        <v>5</v>
      </c>
      <c r="U114" s="304"/>
    </row>
    <row r="115" spans="1:22" ht="52.5" customHeight="1" x14ac:dyDescent="0.35">
      <c r="A115" s="218" t="s">
        <v>2420</v>
      </c>
      <c r="B115" s="3">
        <v>106</v>
      </c>
      <c r="C115" s="44">
        <v>10142941</v>
      </c>
      <c r="D115" s="19" t="s">
        <v>713</v>
      </c>
      <c r="E115" s="19" t="s">
        <v>2230</v>
      </c>
      <c r="F115" s="12">
        <v>6</v>
      </c>
      <c r="G115" s="3" t="s">
        <v>0</v>
      </c>
      <c r="H115" s="17">
        <v>42004</v>
      </c>
      <c r="I115" s="17" t="s">
        <v>1002</v>
      </c>
      <c r="J115" s="20" t="s">
        <v>1001</v>
      </c>
      <c r="K115" s="32" t="s">
        <v>1000</v>
      </c>
      <c r="L115" s="17" t="s">
        <v>977</v>
      </c>
      <c r="M115" s="99">
        <f t="shared" si="20"/>
        <v>7350833.8799999999</v>
      </c>
      <c r="N115" s="99">
        <f t="shared" ref="N115:N120" si="22">O115/F115</f>
        <v>1225138.98</v>
      </c>
      <c r="O115" s="83">
        <v>7350833.8799999999</v>
      </c>
      <c r="P115" s="72">
        <v>11916140</v>
      </c>
      <c r="Q115" s="256">
        <f t="shared" ref="Q115:Q120" si="23">R115-P115</f>
        <v>2621550.7999999998</v>
      </c>
      <c r="R115" s="256">
        <f t="shared" ref="R115:R120" si="24">P115*1.22</f>
        <v>14537690.800000001</v>
      </c>
      <c r="S115" s="289"/>
      <c r="T115" s="3">
        <v>6</v>
      </c>
      <c r="U115" s="292" t="s">
        <v>2359</v>
      </c>
    </row>
    <row r="116" spans="1:22" ht="29.15" customHeight="1" x14ac:dyDescent="0.35">
      <c r="A116" s="218" t="s">
        <v>2421</v>
      </c>
      <c r="B116" s="3">
        <v>107</v>
      </c>
      <c r="C116" s="44">
        <v>10142940</v>
      </c>
      <c r="D116" s="18" t="s">
        <v>510</v>
      </c>
      <c r="E116" s="19" t="s">
        <v>2230</v>
      </c>
      <c r="F116" s="12">
        <v>2</v>
      </c>
      <c r="G116" s="3" t="s">
        <v>0</v>
      </c>
      <c r="H116" s="5" t="s">
        <v>524</v>
      </c>
      <c r="I116" s="5" t="s">
        <v>1002</v>
      </c>
      <c r="J116" s="4" t="s">
        <v>1962</v>
      </c>
      <c r="K116" s="4" t="s">
        <v>510</v>
      </c>
      <c r="L116" s="5" t="s">
        <v>977</v>
      </c>
      <c r="M116" s="73">
        <f t="shared" si="20"/>
        <v>1195606.78</v>
      </c>
      <c r="N116" s="73">
        <f t="shared" si="22"/>
        <v>597803.39</v>
      </c>
      <c r="O116" s="72">
        <v>1195606.78</v>
      </c>
      <c r="P116" s="72">
        <v>1938150</v>
      </c>
      <c r="Q116" s="256">
        <f t="shared" si="23"/>
        <v>426393</v>
      </c>
      <c r="R116" s="256">
        <f t="shared" si="24"/>
        <v>2364543</v>
      </c>
      <c r="S116" s="296"/>
      <c r="T116" s="3">
        <v>6</v>
      </c>
      <c r="U116" s="294"/>
    </row>
    <row r="117" spans="1:22" ht="35.15" customHeight="1" x14ac:dyDescent="0.35">
      <c r="A117" s="218" t="s">
        <v>2422</v>
      </c>
      <c r="B117" s="3">
        <v>108</v>
      </c>
      <c r="C117" s="66">
        <v>102001342</v>
      </c>
      <c r="D117" s="24" t="s">
        <v>1358</v>
      </c>
      <c r="E117" s="24" t="s">
        <v>4276</v>
      </c>
      <c r="F117" s="12">
        <v>1</v>
      </c>
      <c r="G117" s="3" t="s">
        <v>0</v>
      </c>
      <c r="H117" s="25" t="s">
        <v>517</v>
      </c>
      <c r="I117" s="26" t="s">
        <v>1360</v>
      </c>
      <c r="J117" s="4" t="s">
        <v>1962</v>
      </c>
      <c r="K117" s="4" t="s">
        <v>988</v>
      </c>
      <c r="L117" s="29" t="s">
        <v>977</v>
      </c>
      <c r="M117" s="79">
        <f t="shared" si="20"/>
        <v>67694.59</v>
      </c>
      <c r="N117" s="79">
        <f t="shared" si="22"/>
        <v>67694.59</v>
      </c>
      <c r="O117" s="78">
        <v>67694.59</v>
      </c>
      <c r="P117" s="72">
        <v>109740</v>
      </c>
      <c r="Q117" s="256">
        <f t="shared" si="23"/>
        <v>24142.799999999999</v>
      </c>
      <c r="R117" s="256">
        <f t="shared" si="24"/>
        <v>133882.79999999999</v>
      </c>
      <c r="S117" s="296"/>
      <c r="T117" s="3">
        <v>6</v>
      </c>
      <c r="U117" s="294"/>
    </row>
    <row r="118" spans="1:22" ht="15" customHeight="1" x14ac:dyDescent="0.35">
      <c r="A118" s="218" t="s">
        <v>2423</v>
      </c>
      <c r="B118" s="3">
        <v>109</v>
      </c>
      <c r="C118" s="44">
        <v>102001708</v>
      </c>
      <c r="D118" s="18" t="s">
        <v>1465</v>
      </c>
      <c r="E118" s="19" t="s">
        <v>2219</v>
      </c>
      <c r="F118" s="12">
        <v>1</v>
      </c>
      <c r="G118" s="3" t="s">
        <v>0</v>
      </c>
      <c r="H118" s="20">
        <v>2015</v>
      </c>
      <c r="I118" s="27" t="s">
        <v>984</v>
      </c>
      <c r="J118" s="4" t="s">
        <v>1962</v>
      </c>
      <c r="K118" s="4" t="s">
        <v>988</v>
      </c>
      <c r="L118" s="29" t="s">
        <v>977</v>
      </c>
      <c r="M118" s="79">
        <f t="shared" si="20"/>
        <v>974015.64</v>
      </c>
      <c r="N118" s="79">
        <f t="shared" si="22"/>
        <v>974015.64</v>
      </c>
      <c r="O118" s="78">
        <v>974015.64</v>
      </c>
      <c r="P118" s="72">
        <v>1420480</v>
      </c>
      <c r="Q118" s="256">
        <f t="shared" si="23"/>
        <v>312505.59999999998</v>
      </c>
      <c r="R118" s="256">
        <f t="shared" si="24"/>
        <v>1732985.6</v>
      </c>
      <c r="S118" s="296"/>
      <c r="T118" s="3">
        <v>6</v>
      </c>
      <c r="U118" s="294"/>
    </row>
    <row r="119" spans="1:22" ht="15" customHeight="1" x14ac:dyDescent="0.35">
      <c r="A119" s="218" t="s">
        <v>2424</v>
      </c>
      <c r="B119" s="3">
        <v>110</v>
      </c>
      <c r="C119" s="44">
        <v>102000872</v>
      </c>
      <c r="D119" s="18" t="s">
        <v>1466</v>
      </c>
      <c r="E119" s="19" t="s">
        <v>2219</v>
      </c>
      <c r="F119" s="12">
        <v>1</v>
      </c>
      <c r="G119" s="3" t="s">
        <v>0</v>
      </c>
      <c r="H119" s="39">
        <v>41891</v>
      </c>
      <c r="I119" s="27" t="s">
        <v>984</v>
      </c>
      <c r="J119" s="4" t="s">
        <v>1962</v>
      </c>
      <c r="K119" s="4" t="s">
        <v>988</v>
      </c>
      <c r="L119" s="29" t="s">
        <v>977</v>
      </c>
      <c r="M119" s="79">
        <f t="shared" si="20"/>
        <v>9945.35</v>
      </c>
      <c r="N119" s="79">
        <f t="shared" si="22"/>
        <v>9945.35</v>
      </c>
      <c r="O119" s="78">
        <v>9945.35</v>
      </c>
      <c r="P119" s="72">
        <v>16210</v>
      </c>
      <c r="Q119" s="256">
        <f t="shared" si="23"/>
        <v>3566.2</v>
      </c>
      <c r="R119" s="256">
        <f t="shared" si="24"/>
        <v>19776.2</v>
      </c>
      <c r="S119" s="296"/>
      <c r="T119" s="3">
        <v>6</v>
      </c>
      <c r="U119" s="294"/>
    </row>
    <row r="120" spans="1:22" ht="15" customHeight="1" x14ac:dyDescent="0.35">
      <c r="A120" s="218" t="s">
        <v>2425</v>
      </c>
      <c r="B120" s="3">
        <v>111</v>
      </c>
      <c r="C120" s="65">
        <v>102001624</v>
      </c>
      <c r="D120" s="8" t="s">
        <v>32</v>
      </c>
      <c r="E120" s="19" t="s">
        <v>2219</v>
      </c>
      <c r="F120" s="92">
        <v>1</v>
      </c>
      <c r="G120" s="3" t="s">
        <v>0</v>
      </c>
      <c r="H120" s="40">
        <v>41395</v>
      </c>
      <c r="I120" s="27" t="s">
        <v>984</v>
      </c>
      <c r="J120" s="41" t="s">
        <v>1406</v>
      </c>
      <c r="K120" s="4" t="s">
        <v>988</v>
      </c>
      <c r="L120" s="29" t="s">
        <v>977</v>
      </c>
      <c r="M120" s="79">
        <f t="shared" si="20"/>
        <v>426513.62</v>
      </c>
      <c r="N120" s="79">
        <f t="shared" si="22"/>
        <v>426513.62</v>
      </c>
      <c r="O120" s="78">
        <v>426513.62</v>
      </c>
      <c r="P120" s="72">
        <v>679010</v>
      </c>
      <c r="Q120" s="256">
        <f t="shared" si="23"/>
        <v>149382.20000000001</v>
      </c>
      <c r="R120" s="256">
        <f t="shared" si="24"/>
        <v>828392.2</v>
      </c>
      <c r="S120" s="297"/>
      <c r="T120" s="3">
        <v>6</v>
      </c>
      <c r="U120" s="294"/>
    </row>
    <row r="121" spans="1:22" ht="18" customHeight="1" x14ac:dyDescent="0.35">
      <c r="A121" s="218"/>
      <c r="B121" s="94"/>
      <c r="C121" s="65"/>
      <c r="D121" s="8"/>
      <c r="E121" s="19"/>
      <c r="F121" s="92"/>
      <c r="G121" s="3"/>
      <c r="H121" s="40"/>
      <c r="I121" s="27"/>
      <c r="J121" s="41"/>
      <c r="K121" s="4"/>
      <c r="L121" s="29"/>
      <c r="M121" s="79"/>
      <c r="N121" s="79"/>
      <c r="O121" s="108">
        <f t="shared" ref="O121:R121" si="25">SUM(O115:O120)</f>
        <v>10024609.859999999</v>
      </c>
      <c r="P121" s="82">
        <f t="shared" si="25"/>
        <v>16079730</v>
      </c>
      <c r="Q121" s="279">
        <f t="shared" si="25"/>
        <v>3537540.6</v>
      </c>
      <c r="R121" s="279">
        <f t="shared" si="25"/>
        <v>19617270.600000001</v>
      </c>
      <c r="S121" s="286">
        <f>R121/100*10</f>
        <v>1961727.06</v>
      </c>
      <c r="T121" s="104">
        <v>6</v>
      </c>
      <c r="U121" s="295"/>
      <c r="V121" s="134"/>
    </row>
    <row r="122" spans="1:22" ht="15" customHeight="1" x14ac:dyDescent="0.35">
      <c r="A122" s="218" t="s">
        <v>2426</v>
      </c>
      <c r="B122" s="3">
        <v>112</v>
      </c>
      <c r="C122" s="44">
        <v>102000631</v>
      </c>
      <c r="D122" s="18" t="s">
        <v>1527</v>
      </c>
      <c r="E122" s="19" t="s">
        <v>2219</v>
      </c>
      <c r="F122" s="12">
        <v>1</v>
      </c>
      <c r="G122" s="3" t="s">
        <v>0</v>
      </c>
      <c r="H122" s="39">
        <v>41891</v>
      </c>
      <c r="I122" s="27" t="s">
        <v>984</v>
      </c>
      <c r="J122" s="4" t="s">
        <v>1962</v>
      </c>
      <c r="K122" s="4" t="s">
        <v>988</v>
      </c>
      <c r="L122" s="29" t="s">
        <v>977</v>
      </c>
      <c r="M122" s="79">
        <f t="shared" si="20"/>
        <v>138062.12</v>
      </c>
      <c r="N122" s="79">
        <f>O122/F122</f>
        <v>138062.12</v>
      </c>
      <c r="O122" s="78">
        <v>138062.12</v>
      </c>
      <c r="P122" s="72">
        <v>245370</v>
      </c>
      <c r="Q122" s="256">
        <f>R122-P122</f>
        <v>53981.4</v>
      </c>
      <c r="R122" s="256">
        <f>P122*1.22</f>
        <v>299351.40000000002</v>
      </c>
      <c r="S122" s="289"/>
      <c r="T122" s="3">
        <v>7</v>
      </c>
      <c r="U122" s="294" t="s">
        <v>2360</v>
      </c>
    </row>
    <row r="123" spans="1:22" ht="15" customHeight="1" x14ac:dyDescent="0.35">
      <c r="A123" s="218" t="s">
        <v>2427</v>
      </c>
      <c r="B123" s="3">
        <v>113</v>
      </c>
      <c r="C123" s="44">
        <v>10151836</v>
      </c>
      <c r="D123" s="18" t="s">
        <v>1778</v>
      </c>
      <c r="E123" s="19" t="s">
        <v>2219</v>
      </c>
      <c r="F123" s="12">
        <v>2</v>
      </c>
      <c r="G123" s="3" t="s">
        <v>0</v>
      </c>
      <c r="H123" s="39">
        <v>41789</v>
      </c>
      <c r="I123" s="27" t="s">
        <v>984</v>
      </c>
      <c r="J123" s="4" t="s">
        <v>1962</v>
      </c>
      <c r="K123" s="4" t="s">
        <v>988</v>
      </c>
      <c r="L123" s="29" t="s">
        <v>977</v>
      </c>
      <c r="M123" s="79">
        <f t="shared" si="20"/>
        <v>43375.28</v>
      </c>
      <c r="N123" s="79">
        <f>O123/F123</f>
        <v>21687.64</v>
      </c>
      <c r="O123" s="78">
        <v>43375.28</v>
      </c>
      <c r="P123" s="72">
        <v>78140</v>
      </c>
      <c r="Q123" s="256">
        <f>R123-P123</f>
        <v>17190.8</v>
      </c>
      <c r="R123" s="256">
        <f>P123*1.22</f>
        <v>95330.8</v>
      </c>
      <c r="S123" s="296"/>
      <c r="T123" s="3">
        <v>7</v>
      </c>
      <c r="U123" s="294"/>
    </row>
    <row r="124" spans="1:22" ht="15" customHeight="1" x14ac:dyDescent="0.35">
      <c r="A124" s="218" t="s">
        <v>2428</v>
      </c>
      <c r="B124" s="3">
        <v>114</v>
      </c>
      <c r="C124" s="44">
        <v>10118246</v>
      </c>
      <c r="D124" s="18" t="s">
        <v>1777</v>
      </c>
      <c r="E124" s="18" t="s">
        <v>2219</v>
      </c>
      <c r="F124" s="12">
        <v>2</v>
      </c>
      <c r="G124" s="3" t="s">
        <v>0</v>
      </c>
      <c r="H124" s="39">
        <v>40909</v>
      </c>
      <c r="I124" s="27" t="s">
        <v>984</v>
      </c>
      <c r="J124" s="4" t="s">
        <v>1962</v>
      </c>
      <c r="K124" s="4" t="s">
        <v>988</v>
      </c>
      <c r="L124" s="29" t="s">
        <v>977</v>
      </c>
      <c r="M124" s="79">
        <f t="shared" si="20"/>
        <v>10896.83</v>
      </c>
      <c r="N124" s="79">
        <f>O124/F124</f>
        <v>5448.42</v>
      </c>
      <c r="O124" s="78">
        <v>10896.83</v>
      </c>
      <c r="P124" s="72">
        <v>20300</v>
      </c>
      <c r="Q124" s="256">
        <f>R124-P124</f>
        <v>4466</v>
      </c>
      <c r="R124" s="256">
        <f>P124*1.22</f>
        <v>24766</v>
      </c>
      <c r="S124" s="297"/>
      <c r="T124" s="3">
        <v>7</v>
      </c>
      <c r="U124" s="294"/>
    </row>
    <row r="125" spans="1:22" ht="15" customHeight="1" x14ac:dyDescent="0.35">
      <c r="A125" s="218"/>
      <c r="B125" s="94"/>
      <c r="C125" s="44"/>
      <c r="D125" s="18"/>
      <c r="E125" s="18"/>
      <c r="F125" s="12"/>
      <c r="G125" s="3"/>
      <c r="H125" s="39"/>
      <c r="I125" s="27"/>
      <c r="J125" s="4"/>
      <c r="K125" s="4"/>
      <c r="L125" s="29"/>
      <c r="M125" s="79"/>
      <c r="N125" s="79"/>
      <c r="O125" s="108">
        <f t="shared" ref="O125:R125" si="26">SUM(O122:O124)</f>
        <v>192334.23</v>
      </c>
      <c r="P125" s="82">
        <f t="shared" si="26"/>
        <v>343810</v>
      </c>
      <c r="Q125" s="279">
        <f t="shared" si="26"/>
        <v>75638.2</v>
      </c>
      <c r="R125" s="279">
        <f t="shared" si="26"/>
        <v>419448.2</v>
      </c>
      <c r="S125" s="286">
        <f>R125/100*10</f>
        <v>41944.82</v>
      </c>
      <c r="T125" s="104">
        <v>7</v>
      </c>
      <c r="U125" s="295"/>
    </row>
    <row r="126" spans="1:22" ht="47.25" customHeight="1" x14ac:dyDescent="0.35">
      <c r="A126" s="218" t="s">
        <v>2429</v>
      </c>
      <c r="B126" s="3">
        <v>115</v>
      </c>
      <c r="C126" s="58">
        <v>102000887</v>
      </c>
      <c r="D126" s="21" t="s">
        <v>930</v>
      </c>
      <c r="E126" s="18" t="s">
        <v>2197</v>
      </c>
      <c r="F126" s="7">
        <v>1</v>
      </c>
      <c r="G126" s="3" t="s">
        <v>0</v>
      </c>
      <c r="H126" s="33">
        <v>42004</v>
      </c>
      <c r="I126" s="4" t="s">
        <v>999</v>
      </c>
      <c r="J126" s="4" t="s">
        <v>1962</v>
      </c>
      <c r="K126" s="4" t="s">
        <v>988</v>
      </c>
      <c r="L126" s="5" t="s">
        <v>871</v>
      </c>
      <c r="M126" s="73">
        <f t="shared" si="20"/>
        <v>181676.17</v>
      </c>
      <c r="N126" s="73">
        <f>O126/F126</f>
        <v>181676.17</v>
      </c>
      <c r="O126" s="72">
        <v>181676.17</v>
      </c>
      <c r="P126" s="72">
        <v>182340</v>
      </c>
      <c r="Q126" s="256">
        <f>R126-P126</f>
        <v>40114.800000000003</v>
      </c>
      <c r="R126" s="256">
        <f>P126*1.22</f>
        <v>222454.8</v>
      </c>
      <c r="S126" s="281"/>
      <c r="T126" s="3">
        <v>8</v>
      </c>
      <c r="U126" s="292" t="s">
        <v>2360</v>
      </c>
    </row>
    <row r="127" spans="1:22" ht="15" customHeight="1" x14ac:dyDescent="0.35">
      <c r="A127" s="218"/>
      <c r="B127" s="94"/>
      <c r="C127" s="58"/>
      <c r="D127" s="21"/>
      <c r="E127" s="18"/>
      <c r="F127" s="7"/>
      <c r="G127" s="3"/>
      <c r="H127" s="33"/>
      <c r="I127" s="4"/>
      <c r="J127" s="4"/>
      <c r="K127" s="4"/>
      <c r="L127" s="5"/>
      <c r="M127" s="73"/>
      <c r="N127" s="73"/>
      <c r="O127" s="82">
        <f>SUM(O126)</f>
        <v>181676.17</v>
      </c>
      <c r="P127" s="82">
        <f t="shared" ref="P127:Q127" si="27">P126</f>
        <v>182340</v>
      </c>
      <c r="Q127" s="279">
        <f t="shared" si="27"/>
        <v>40114.800000000003</v>
      </c>
      <c r="R127" s="279">
        <f>R126</f>
        <v>222454.8</v>
      </c>
      <c r="S127" s="286">
        <f>R127/100*10</f>
        <v>22245.48</v>
      </c>
      <c r="T127" s="104">
        <v>8</v>
      </c>
      <c r="U127" s="295"/>
    </row>
    <row r="128" spans="1:22" ht="15" customHeight="1" x14ac:dyDescent="0.35">
      <c r="A128" s="218" t="s">
        <v>2430</v>
      </c>
      <c r="B128" s="3">
        <v>116</v>
      </c>
      <c r="C128" s="44">
        <v>10022139</v>
      </c>
      <c r="D128" s="18" t="s">
        <v>99</v>
      </c>
      <c r="E128" s="18" t="s">
        <v>2194</v>
      </c>
      <c r="F128" s="12">
        <v>0.04</v>
      </c>
      <c r="G128" s="3" t="s">
        <v>3</v>
      </c>
      <c r="H128" s="5">
        <v>42004</v>
      </c>
      <c r="I128" s="5" t="s">
        <v>1002</v>
      </c>
      <c r="J128" s="4" t="s">
        <v>1962</v>
      </c>
      <c r="K128" s="3" t="s">
        <v>99</v>
      </c>
      <c r="L128" s="29" t="s">
        <v>977</v>
      </c>
      <c r="M128" s="79">
        <f t="shared" si="20"/>
        <v>909</v>
      </c>
      <c r="N128" s="79">
        <f t="shared" ref="N128:N136" si="28">O128/F128</f>
        <v>22725</v>
      </c>
      <c r="O128" s="78">
        <v>909</v>
      </c>
      <c r="P128" s="72">
        <v>1060</v>
      </c>
      <c r="Q128" s="256">
        <f t="shared" ref="Q128:Q136" si="29">R128-P128</f>
        <v>233.2</v>
      </c>
      <c r="R128" s="256">
        <f t="shared" ref="R128:R136" si="30">P128*1.22</f>
        <v>1293.2</v>
      </c>
      <c r="S128" s="289"/>
      <c r="T128" s="3">
        <v>9</v>
      </c>
      <c r="U128" s="292" t="s">
        <v>2361</v>
      </c>
    </row>
    <row r="129" spans="1:22" ht="15" customHeight="1" x14ac:dyDescent="0.35">
      <c r="A129" s="218" t="s">
        <v>2431</v>
      </c>
      <c r="B129" s="3">
        <v>117</v>
      </c>
      <c r="C129" s="18">
        <v>10002378</v>
      </c>
      <c r="D129" s="18" t="s">
        <v>2239</v>
      </c>
      <c r="E129" s="18" t="s">
        <v>2254</v>
      </c>
      <c r="F129" s="59">
        <f>110-25-50-15</f>
        <v>20</v>
      </c>
      <c r="G129" s="60" t="s">
        <v>8</v>
      </c>
      <c r="H129" s="9">
        <v>42607</v>
      </c>
      <c r="I129" s="149" t="s">
        <v>1002</v>
      </c>
      <c r="J129" s="4" t="s">
        <v>1962</v>
      </c>
      <c r="K129" s="3" t="s">
        <v>2239</v>
      </c>
      <c r="L129" s="5" t="s">
        <v>977</v>
      </c>
      <c r="M129" s="73">
        <f t="shared" si="20"/>
        <v>5500</v>
      </c>
      <c r="N129" s="73">
        <f t="shared" si="28"/>
        <v>275</v>
      </c>
      <c r="O129" s="72">
        <f>30250/110*20</f>
        <v>5500</v>
      </c>
      <c r="P129" s="72">
        <v>5630</v>
      </c>
      <c r="Q129" s="256">
        <f t="shared" si="29"/>
        <v>1238.5999999999999</v>
      </c>
      <c r="R129" s="256">
        <f t="shared" si="30"/>
        <v>6868.6</v>
      </c>
      <c r="S129" s="296"/>
      <c r="T129" s="3">
        <v>9</v>
      </c>
      <c r="U129" s="294"/>
    </row>
    <row r="130" spans="1:22" ht="15" customHeight="1" x14ac:dyDescent="0.35">
      <c r="A130" s="218" t="s">
        <v>2432</v>
      </c>
      <c r="B130" s="3">
        <v>118</v>
      </c>
      <c r="C130" s="44">
        <v>10098158</v>
      </c>
      <c r="D130" s="18" t="s">
        <v>1459</v>
      </c>
      <c r="E130" s="19" t="s">
        <v>2219</v>
      </c>
      <c r="F130" s="12">
        <v>10</v>
      </c>
      <c r="G130" s="3" t="s">
        <v>0</v>
      </c>
      <c r="H130" s="39">
        <v>41249</v>
      </c>
      <c r="I130" s="27" t="s">
        <v>984</v>
      </c>
      <c r="J130" s="4" t="s">
        <v>1962</v>
      </c>
      <c r="K130" s="4" t="s">
        <v>988</v>
      </c>
      <c r="L130" s="29" t="s">
        <v>977</v>
      </c>
      <c r="M130" s="79">
        <f t="shared" si="20"/>
        <v>27951.599999999999</v>
      </c>
      <c r="N130" s="79">
        <f t="shared" si="28"/>
        <v>2795.16</v>
      </c>
      <c r="O130" s="78">
        <v>27951.599999999999</v>
      </c>
      <c r="P130" s="72">
        <v>36520</v>
      </c>
      <c r="Q130" s="256">
        <f t="shared" si="29"/>
        <v>8034.4</v>
      </c>
      <c r="R130" s="256">
        <f t="shared" si="30"/>
        <v>44554.400000000001</v>
      </c>
      <c r="S130" s="296"/>
      <c r="T130" s="3">
        <v>9</v>
      </c>
      <c r="U130" s="294"/>
    </row>
    <row r="131" spans="1:22" ht="15" customHeight="1" x14ac:dyDescent="0.35">
      <c r="A131" s="218" t="s">
        <v>2433</v>
      </c>
      <c r="B131" s="3">
        <v>119</v>
      </c>
      <c r="C131" s="44">
        <v>10002738</v>
      </c>
      <c r="D131" s="18" t="s">
        <v>1500</v>
      </c>
      <c r="E131" s="19" t="s">
        <v>2219</v>
      </c>
      <c r="F131" s="12">
        <v>827</v>
      </c>
      <c r="G131" s="3" t="s">
        <v>0</v>
      </c>
      <c r="H131" s="39">
        <v>41375</v>
      </c>
      <c r="I131" s="27" t="s">
        <v>984</v>
      </c>
      <c r="J131" s="4" t="s">
        <v>1962</v>
      </c>
      <c r="K131" s="4" t="s">
        <v>988</v>
      </c>
      <c r="L131" s="29" t="s">
        <v>977</v>
      </c>
      <c r="M131" s="79">
        <f t="shared" si="20"/>
        <v>2896.96</v>
      </c>
      <c r="N131" s="79">
        <f t="shared" si="28"/>
        <v>3.5</v>
      </c>
      <c r="O131" s="78">
        <v>2896.96</v>
      </c>
      <c r="P131" s="72">
        <v>4420</v>
      </c>
      <c r="Q131" s="256">
        <f t="shared" si="29"/>
        <v>972.4</v>
      </c>
      <c r="R131" s="256">
        <f t="shared" si="30"/>
        <v>5392.4</v>
      </c>
      <c r="S131" s="296"/>
      <c r="T131" s="3">
        <v>9</v>
      </c>
      <c r="U131" s="294"/>
    </row>
    <row r="132" spans="1:22" ht="17.149999999999999" customHeight="1" x14ac:dyDescent="0.35">
      <c r="A132" s="218" t="s">
        <v>2434</v>
      </c>
      <c r="B132" s="3">
        <v>120</v>
      </c>
      <c r="C132" s="65">
        <v>10147852</v>
      </c>
      <c r="D132" s="8" t="s">
        <v>1439</v>
      </c>
      <c r="E132" s="19" t="s">
        <v>2219</v>
      </c>
      <c r="F132" s="92">
        <f>500-60-42</f>
        <v>398</v>
      </c>
      <c r="G132" s="3" t="s">
        <v>0</v>
      </c>
      <c r="H132" s="40">
        <v>41518</v>
      </c>
      <c r="I132" s="27" t="s">
        <v>984</v>
      </c>
      <c r="J132" s="4" t="s">
        <v>1962</v>
      </c>
      <c r="K132" s="4" t="s">
        <v>988</v>
      </c>
      <c r="L132" s="29" t="s">
        <v>977</v>
      </c>
      <c r="M132" s="79">
        <f t="shared" si="20"/>
        <v>10960.92</v>
      </c>
      <c r="N132" s="79">
        <f t="shared" si="28"/>
        <v>27.54</v>
      </c>
      <c r="O132" s="78">
        <f>13770/500*398</f>
        <v>10960.92</v>
      </c>
      <c r="P132" s="72">
        <v>16200</v>
      </c>
      <c r="Q132" s="256">
        <f t="shared" si="29"/>
        <v>3564</v>
      </c>
      <c r="R132" s="256">
        <f t="shared" si="30"/>
        <v>19764</v>
      </c>
      <c r="S132" s="296"/>
      <c r="T132" s="3">
        <v>9</v>
      </c>
      <c r="U132" s="294"/>
    </row>
    <row r="133" spans="1:22" ht="42.65" customHeight="1" x14ac:dyDescent="0.35">
      <c r="A133" s="218" t="s">
        <v>2435</v>
      </c>
      <c r="B133" s="3">
        <v>121</v>
      </c>
      <c r="C133" s="65">
        <v>10155132</v>
      </c>
      <c r="D133" s="8" t="s">
        <v>1441</v>
      </c>
      <c r="E133" s="19" t="s">
        <v>2219</v>
      </c>
      <c r="F133" s="92">
        <v>10</v>
      </c>
      <c r="G133" s="3" t="s">
        <v>8</v>
      </c>
      <c r="H133" s="40">
        <v>41518</v>
      </c>
      <c r="I133" s="27" t="s">
        <v>984</v>
      </c>
      <c r="J133" s="41" t="s">
        <v>1455</v>
      </c>
      <c r="K133" s="4" t="s">
        <v>988</v>
      </c>
      <c r="L133" s="29" t="s">
        <v>977</v>
      </c>
      <c r="M133" s="79">
        <f t="shared" si="20"/>
        <v>13680</v>
      </c>
      <c r="N133" s="79">
        <f t="shared" si="28"/>
        <v>1368</v>
      </c>
      <c r="O133" s="78">
        <v>13680</v>
      </c>
      <c r="P133" s="72">
        <v>20220</v>
      </c>
      <c r="Q133" s="256">
        <f t="shared" si="29"/>
        <v>4448.3999999999996</v>
      </c>
      <c r="R133" s="256">
        <f t="shared" si="30"/>
        <v>24668.400000000001</v>
      </c>
      <c r="S133" s="296"/>
      <c r="T133" s="3">
        <v>9</v>
      </c>
      <c r="U133" s="294"/>
    </row>
    <row r="134" spans="1:22" ht="45.65" customHeight="1" x14ac:dyDescent="0.35">
      <c r="A134" s="218" t="s">
        <v>2436</v>
      </c>
      <c r="B134" s="3">
        <v>122</v>
      </c>
      <c r="C134" s="65">
        <v>10148836</v>
      </c>
      <c r="D134" s="8" t="s">
        <v>1442</v>
      </c>
      <c r="E134" s="19" t="s">
        <v>2219</v>
      </c>
      <c r="F134" s="92">
        <v>70</v>
      </c>
      <c r="G134" s="3" t="s">
        <v>8</v>
      </c>
      <c r="H134" s="40">
        <v>41518</v>
      </c>
      <c r="I134" s="27" t="s">
        <v>984</v>
      </c>
      <c r="J134" s="41" t="s">
        <v>1455</v>
      </c>
      <c r="K134" s="4" t="s">
        <v>988</v>
      </c>
      <c r="L134" s="29" t="s">
        <v>977</v>
      </c>
      <c r="M134" s="79">
        <f t="shared" si="20"/>
        <v>105435.56</v>
      </c>
      <c r="N134" s="79">
        <f t="shared" si="28"/>
        <v>1506.22</v>
      </c>
      <c r="O134" s="78">
        <v>105435.56</v>
      </c>
      <c r="P134" s="72">
        <v>155840</v>
      </c>
      <c r="Q134" s="256">
        <f t="shared" si="29"/>
        <v>34284.800000000003</v>
      </c>
      <c r="R134" s="256">
        <f t="shared" si="30"/>
        <v>190124.79999999999</v>
      </c>
      <c r="S134" s="296"/>
      <c r="T134" s="3">
        <v>9</v>
      </c>
      <c r="U134" s="294"/>
    </row>
    <row r="135" spans="1:22" ht="49" customHeight="1" x14ac:dyDescent="0.35">
      <c r="A135" s="218" t="s">
        <v>2437</v>
      </c>
      <c r="B135" s="3">
        <v>123</v>
      </c>
      <c r="C135" s="65">
        <v>10148870</v>
      </c>
      <c r="D135" s="8" t="s">
        <v>1871</v>
      </c>
      <c r="E135" s="19" t="s">
        <v>2219</v>
      </c>
      <c r="F135" s="92">
        <v>31.4</v>
      </c>
      <c r="G135" s="3" t="s">
        <v>8</v>
      </c>
      <c r="H135" s="40">
        <v>41548</v>
      </c>
      <c r="I135" s="27" t="s">
        <v>984</v>
      </c>
      <c r="J135" s="41" t="s">
        <v>1960</v>
      </c>
      <c r="K135" s="4" t="s">
        <v>988</v>
      </c>
      <c r="L135" s="29" t="s">
        <v>977</v>
      </c>
      <c r="M135" s="79">
        <f t="shared" si="20"/>
        <v>52600.04</v>
      </c>
      <c r="N135" s="79">
        <f t="shared" si="28"/>
        <v>1675.16</v>
      </c>
      <c r="O135" s="78">
        <v>52600.04</v>
      </c>
      <c r="P135" s="72">
        <v>78140</v>
      </c>
      <c r="Q135" s="256">
        <f t="shared" si="29"/>
        <v>17190.8</v>
      </c>
      <c r="R135" s="256">
        <f t="shared" si="30"/>
        <v>95330.8</v>
      </c>
      <c r="S135" s="296"/>
      <c r="T135" s="3">
        <v>9</v>
      </c>
      <c r="U135" s="294"/>
    </row>
    <row r="136" spans="1:22" ht="47.15" customHeight="1" x14ac:dyDescent="0.35">
      <c r="A136" s="218" t="s">
        <v>2438</v>
      </c>
      <c r="B136" s="3">
        <v>124</v>
      </c>
      <c r="C136" s="65">
        <v>10148835</v>
      </c>
      <c r="D136" s="8" t="s">
        <v>1872</v>
      </c>
      <c r="E136" s="19" t="s">
        <v>2219</v>
      </c>
      <c r="F136" s="92">
        <v>40</v>
      </c>
      <c r="G136" s="3" t="s">
        <v>8</v>
      </c>
      <c r="H136" s="40">
        <v>41548</v>
      </c>
      <c r="I136" s="27" t="s">
        <v>984</v>
      </c>
      <c r="J136" s="41" t="s">
        <v>1960</v>
      </c>
      <c r="K136" s="4" t="s">
        <v>988</v>
      </c>
      <c r="L136" s="29" t="s">
        <v>977</v>
      </c>
      <c r="M136" s="79">
        <f t="shared" si="20"/>
        <v>54720</v>
      </c>
      <c r="N136" s="79">
        <f t="shared" si="28"/>
        <v>1368</v>
      </c>
      <c r="O136" s="78">
        <v>54720</v>
      </c>
      <c r="P136" s="72">
        <v>81290</v>
      </c>
      <c r="Q136" s="256">
        <f t="shared" si="29"/>
        <v>17883.8</v>
      </c>
      <c r="R136" s="256">
        <f t="shared" si="30"/>
        <v>99173.8</v>
      </c>
      <c r="S136" s="297"/>
      <c r="T136" s="3">
        <v>9</v>
      </c>
      <c r="U136" s="294"/>
    </row>
    <row r="137" spans="1:22" ht="15" customHeight="1" x14ac:dyDescent="0.35">
      <c r="A137" s="218"/>
      <c r="B137" s="94"/>
      <c r="C137" s="65"/>
      <c r="D137" s="8"/>
      <c r="E137" s="19"/>
      <c r="F137" s="92"/>
      <c r="G137" s="3"/>
      <c r="H137" s="40"/>
      <c r="I137" s="27"/>
      <c r="J137" s="41"/>
      <c r="K137" s="4"/>
      <c r="L137" s="29"/>
      <c r="M137" s="79"/>
      <c r="N137" s="79"/>
      <c r="O137" s="108">
        <f t="shared" ref="O137:R137" si="31">SUM(O128:O136)</f>
        <v>274654.08000000002</v>
      </c>
      <c r="P137" s="82">
        <f t="shared" si="31"/>
        <v>399320</v>
      </c>
      <c r="Q137" s="279">
        <f t="shared" si="31"/>
        <v>87850.4</v>
      </c>
      <c r="R137" s="279">
        <f t="shared" si="31"/>
        <v>487170.4</v>
      </c>
      <c r="S137" s="286">
        <f>R137/100*10</f>
        <v>48717.04</v>
      </c>
      <c r="T137" s="104">
        <v>9</v>
      </c>
      <c r="U137" s="295"/>
      <c r="V137" s="134"/>
    </row>
    <row r="138" spans="1:22" ht="21" customHeight="1" x14ac:dyDescent="0.35">
      <c r="A138" s="218" t="s">
        <v>2439</v>
      </c>
      <c r="B138" s="3">
        <v>125</v>
      </c>
      <c r="C138" s="44">
        <v>10089784</v>
      </c>
      <c r="D138" s="18" t="s">
        <v>95</v>
      </c>
      <c r="E138" s="19" t="s">
        <v>2219</v>
      </c>
      <c r="F138" s="12">
        <v>26</v>
      </c>
      <c r="G138" s="3" t="s">
        <v>0</v>
      </c>
      <c r="H138" s="49">
        <v>2014</v>
      </c>
      <c r="I138" s="27" t="s">
        <v>984</v>
      </c>
      <c r="J138" s="4" t="s">
        <v>1962</v>
      </c>
      <c r="K138" s="49" t="s">
        <v>2059</v>
      </c>
      <c r="L138" s="49" t="s">
        <v>871</v>
      </c>
      <c r="M138" s="73">
        <f t="shared" si="20"/>
        <v>1054.4000000000001</v>
      </c>
      <c r="N138" s="73">
        <f>O138/F138</f>
        <v>40.549999999999997</v>
      </c>
      <c r="O138" s="72">
        <v>1054.4000000000001</v>
      </c>
      <c r="P138" s="72">
        <v>1100</v>
      </c>
      <c r="Q138" s="256">
        <f>R138-P138</f>
        <v>242</v>
      </c>
      <c r="R138" s="256">
        <f>P138*1.22</f>
        <v>1342</v>
      </c>
      <c r="S138" s="289"/>
      <c r="T138" s="3">
        <v>10</v>
      </c>
      <c r="U138" s="294" t="s">
        <v>2361</v>
      </c>
    </row>
    <row r="139" spans="1:22" ht="22.5" customHeight="1" x14ac:dyDescent="0.35">
      <c r="A139" s="218" t="s">
        <v>2440</v>
      </c>
      <c r="B139" s="3">
        <v>126</v>
      </c>
      <c r="C139" s="18">
        <v>10022139</v>
      </c>
      <c r="D139" s="18" t="s">
        <v>99</v>
      </c>
      <c r="E139" s="18" t="s">
        <v>2027</v>
      </c>
      <c r="F139" s="12">
        <f>33.92-4.24-1.5-1.5-6</f>
        <v>20.68</v>
      </c>
      <c r="G139" s="3" t="s">
        <v>3</v>
      </c>
      <c r="H139" s="39">
        <v>39572</v>
      </c>
      <c r="I139" s="27" t="s">
        <v>984</v>
      </c>
      <c r="J139" s="4" t="s">
        <v>1962</v>
      </c>
      <c r="K139" s="4" t="s">
        <v>988</v>
      </c>
      <c r="L139" s="29" t="s">
        <v>2143</v>
      </c>
      <c r="M139" s="79">
        <f t="shared" si="20"/>
        <v>469953</v>
      </c>
      <c r="N139" s="79">
        <f>O139/F139</f>
        <v>22725</v>
      </c>
      <c r="O139" s="78">
        <f>770832/33.92*20.68</f>
        <v>469953</v>
      </c>
      <c r="P139" s="72">
        <v>321370</v>
      </c>
      <c r="Q139" s="256">
        <f>R139-P139</f>
        <v>70701.399999999994</v>
      </c>
      <c r="R139" s="256">
        <f>P139*1.22</f>
        <v>392071.4</v>
      </c>
      <c r="S139" s="297"/>
      <c r="T139" s="3">
        <v>10</v>
      </c>
      <c r="U139" s="294"/>
    </row>
    <row r="140" spans="1:22" ht="15" customHeight="1" x14ac:dyDescent="0.35">
      <c r="A140" s="218"/>
      <c r="B140" s="94"/>
      <c r="C140" s="44"/>
      <c r="D140" s="18"/>
      <c r="E140" s="18"/>
      <c r="F140" s="12"/>
      <c r="G140" s="3"/>
      <c r="H140" s="5"/>
      <c r="I140" s="27"/>
      <c r="J140" s="5"/>
      <c r="K140" s="5"/>
      <c r="L140" s="6"/>
      <c r="M140" s="80"/>
      <c r="N140" s="80"/>
      <c r="O140" s="109">
        <f>SUM(O138:O139)</f>
        <v>471007.4</v>
      </c>
      <c r="P140" s="82">
        <f>SUM(P138+P139)</f>
        <v>322470</v>
      </c>
      <c r="Q140" s="279">
        <f t="shared" ref="Q140:R140" si="32">SUM(Q138+Q139)</f>
        <v>70943.399999999994</v>
      </c>
      <c r="R140" s="279">
        <f t="shared" si="32"/>
        <v>393413.4</v>
      </c>
      <c r="S140" s="286">
        <f>R140/100*10</f>
        <v>39341.339999999997</v>
      </c>
      <c r="T140" s="104">
        <v>10</v>
      </c>
      <c r="U140" s="295"/>
    </row>
    <row r="141" spans="1:22" ht="33.75" customHeight="1" x14ac:dyDescent="0.35">
      <c r="A141" s="218" t="s">
        <v>2441</v>
      </c>
      <c r="B141" s="3">
        <v>127</v>
      </c>
      <c r="C141" s="44">
        <v>10119224</v>
      </c>
      <c r="D141" s="18" t="s">
        <v>1677</v>
      </c>
      <c r="E141" s="18" t="s">
        <v>2219</v>
      </c>
      <c r="F141" s="12">
        <v>2</v>
      </c>
      <c r="G141" s="3" t="s">
        <v>0</v>
      </c>
      <c r="H141" s="39">
        <v>41431</v>
      </c>
      <c r="I141" s="27" t="s">
        <v>984</v>
      </c>
      <c r="J141" s="4" t="s">
        <v>1962</v>
      </c>
      <c r="K141" s="4" t="s">
        <v>988</v>
      </c>
      <c r="L141" s="29" t="s">
        <v>977</v>
      </c>
      <c r="M141" s="79">
        <f t="shared" si="20"/>
        <v>15992</v>
      </c>
      <c r="N141" s="79">
        <f t="shared" ref="N141:N149" si="33">O141/F141</f>
        <v>7996</v>
      </c>
      <c r="O141" s="78">
        <v>15992</v>
      </c>
      <c r="P141" s="72">
        <v>26470</v>
      </c>
      <c r="Q141" s="256">
        <f t="shared" ref="Q141:Q149" si="34">R141-P141</f>
        <v>5823.4</v>
      </c>
      <c r="R141" s="256">
        <f t="shared" ref="R141:R149" si="35">P141*1.22</f>
        <v>32293.4</v>
      </c>
      <c r="S141" s="289"/>
      <c r="T141" s="3">
        <v>11</v>
      </c>
      <c r="U141" s="292" t="s">
        <v>2309</v>
      </c>
    </row>
    <row r="142" spans="1:22" ht="33.75" customHeight="1" x14ac:dyDescent="0.35">
      <c r="A142" s="218" t="s">
        <v>2442</v>
      </c>
      <c r="B142" s="3">
        <v>128</v>
      </c>
      <c r="C142" s="44">
        <v>10119225</v>
      </c>
      <c r="D142" s="18" t="s">
        <v>1678</v>
      </c>
      <c r="E142" s="18" t="s">
        <v>2027</v>
      </c>
      <c r="F142" s="12">
        <v>2</v>
      </c>
      <c r="G142" s="3" t="s">
        <v>0</v>
      </c>
      <c r="H142" s="39">
        <v>41431</v>
      </c>
      <c r="I142" s="27" t="s">
        <v>984</v>
      </c>
      <c r="J142" s="4" t="s">
        <v>1962</v>
      </c>
      <c r="K142" s="4" t="s">
        <v>988</v>
      </c>
      <c r="L142" s="29" t="s">
        <v>977</v>
      </c>
      <c r="M142" s="79">
        <f t="shared" si="20"/>
        <v>28294</v>
      </c>
      <c r="N142" s="79">
        <f t="shared" si="33"/>
        <v>14147</v>
      </c>
      <c r="O142" s="78">
        <v>28294</v>
      </c>
      <c r="P142" s="72">
        <v>46830</v>
      </c>
      <c r="Q142" s="256">
        <f t="shared" si="34"/>
        <v>10302.6</v>
      </c>
      <c r="R142" s="256">
        <f t="shared" si="35"/>
        <v>57132.6</v>
      </c>
      <c r="S142" s="296"/>
      <c r="T142" s="3">
        <v>11</v>
      </c>
      <c r="U142" s="294"/>
    </row>
    <row r="143" spans="1:22" ht="33.75" customHeight="1" x14ac:dyDescent="0.35">
      <c r="A143" s="218" t="s">
        <v>2443</v>
      </c>
      <c r="B143" s="3">
        <v>129</v>
      </c>
      <c r="C143" s="44">
        <v>10041192</v>
      </c>
      <c r="D143" s="18" t="s">
        <v>1698</v>
      </c>
      <c r="E143" s="18" t="s">
        <v>2027</v>
      </c>
      <c r="F143" s="12">
        <v>1</v>
      </c>
      <c r="G143" s="3" t="s">
        <v>0</v>
      </c>
      <c r="H143" s="39">
        <v>41431</v>
      </c>
      <c r="I143" s="27" t="s">
        <v>984</v>
      </c>
      <c r="J143" s="4" t="s">
        <v>1962</v>
      </c>
      <c r="K143" s="4" t="s">
        <v>988</v>
      </c>
      <c r="L143" s="29" t="s">
        <v>977</v>
      </c>
      <c r="M143" s="79">
        <f t="shared" si="20"/>
        <v>2277.56</v>
      </c>
      <c r="N143" s="79">
        <f t="shared" si="33"/>
        <v>2277.56</v>
      </c>
      <c r="O143" s="78">
        <v>2277.56</v>
      </c>
      <c r="P143" s="72">
        <v>3770</v>
      </c>
      <c r="Q143" s="256">
        <f t="shared" si="34"/>
        <v>829.4</v>
      </c>
      <c r="R143" s="256">
        <f t="shared" si="35"/>
        <v>4599.3999999999996</v>
      </c>
      <c r="S143" s="296"/>
      <c r="T143" s="3">
        <v>11</v>
      </c>
      <c r="U143" s="294"/>
    </row>
    <row r="144" spans="1:22" ht="33.75" customHeight="1" x14ac:dyDescent="0.35">
      <c r="A144" s="218" t="s">
        <v>2444</v>
      </c>
      <c r="B144" s="3">
        <v>130</v>
      </c>
      <c r="C144" s="44">
        <v>10119360</v>
      </c>
      <c r="D144" s="18" t="s">
        <v>1699</v>
      </c>
      <c r="E144" s="18" t="s">
        <v>2027</v>
      </c>
      <c r="F144" s="12">
        <v>2</v>
      </c>
      <c r="G144" s="3" t="s">
        <v>0</v>
      </c>
      <c r="H144" s="39">
        <v>41431</v>
      </c>
      <c r="I144" s="27" t="s">
        <v>984</v>
      </c>
      <c r="J144" s="4" t="s">
        <v>1962</v>
      </c>
      <c r="K144" s="4" t="s">
        <v>988</v>
      </c>
      <c r="L144" s="29" t="s">
        <v>977</v>
      </c>
      <c r="M144" s="79">
        <f t="shared" si="20"/>
        <v>536.02</v>
      </c>
      <c r="N144" s="79">
        <f t="shared" si="33"/>
        <v>268.01</v>
      </c>
      <c r="O144" s="78">
        <v>536.02</v>
      </c>
      <c r="P144" s="72">
        <v>890</v>
      </c>
      <c r="Q144" s="256">
        <f t="shared" si="34"/>
        <v>195.8</v>
      </c>
      <c r="R144" s="256">
        <f t="shared" si="35"/>
        <v>1085.8</v>
      </c>
      <c r="S144" s="296"/>
      <c r="T144" s="3">
        <v>11</v>
      </c>
      <c r="U144" s="294"/>
    </row>
    <row r="145" spans="1:21" ht="33.75" customHeight="1" x14ac:dyDescent="0.35">
      <c r="A145" s="218" t="s">
        <v>2445</v>
      </c>
      <c r="B145" s="3">
        <v>131</v>
      </c>
      <c r="C145" s="44">
        <v>10119361</v>
      </c>
      <c r="D145" s="18" t="s">
        <v>1700</v>
      </c>
      <c r="E145" s="18" t="s">
        <v>2027</v>
      </c>
      <c r="F145" s="12">
        <v>2</v>
      </c>
      <c r="G145" s="3" t="s">
        <v>0</v>
      </c>
      <c r="H145" s="39">
        <v>41431</v>
      </c>
      <c r="I145" s="27" t="s">
        <v>984</v>
      </c>
      <c r="J145" s="4" t="s">
        <v>1962</v>
      </c>
      <c r="K145" s="4" t="s">
        <v>988</v>
      </c>
      <c r="L145" s="29" t="s">
        <v>977</v>
      </c>
      <c r="M145" s="79">
        <f t="shared" si="20"/>
        <v>536.02</v>
      </c>
      <c r="N145" s="79">
        <f t="shared" si="33"/>
        <v>268.01</v>
      </c>
      <c r="O145" s="78">
        <v>536.02</v>
      </c>
      <c r="P145" s="72">
        <v>890</v>
      </c>
      <c r="Q145" s="256">
        <f t="shared" si="34"/>
        <v>195.8</v>
      </c>
      <c r="R145" s="256">
        <f t="shared" si="35"/>
        <v>1085.8</v>
      </c>
      <c r="S145" s="296"/>
      <c r="T145" s="3">
        <v>11</v>
      </c>
      <c r="U145" s="294"/>
    </row>
    <row r="146" spans="1:21" ht="23.25" customHeight="1" x14ac:dyDescent="0.35">
      <c r="A146" s="218" t="s">
        <v>2446</v>
      </c>
      <c r="B146" s="3">
        <v>132</v>
      </c>
      <c r="C146" s="44">
        <v>10054095</v>
      </c>
      <c r="D146" s="18" t="s">
        <v>1920</v>
      </c>
      <c r="E146" s="18" t="s">
        <v>2027</v>
      </c>
      <c r="F146" s="12">
        <v>1</v>
      </c>
      <c r="G146" s="3" t="s">
        <v>17</v>
      </c>
      <c r="H146" s="39">
        <v>41431</v>
      </c>
      <c r="I146" s="27" t="s">
        <v>984</v>
      </c>
      <c r="J146" s="4" t="s">
        <v>1962</v>
      </c>
      <c r="K146" s="4" t="s">
        <v>988</v>
      </c>
      <c r="L146" s="29" t="s">
        <v>977</v>
      </c>
      <c r="M146" s="78">
        <f t="shared" si="20"/>
        <v>762.71</v>
      </c>
      <c r="N146" s="100">
        <f t="shared" si="33"/>
        <v>762.71</v>
      </c>
      <c r="O146" s="78">
        <v>762.71</v>
      </c>
      <c r="P146" s="72">
        <v>1360</v>
      </c>
      <c r="Q146" s="256">
        <f t="shared" si="34"/>
        <v>299.2</v>
      </c>
      <c r="R146" s="256">
        <f t="shared" si="35"/>
        <v>1659.2</v>
      </c>
      <c r="S146" s="296"/>
      <c r="T146" s="3">
        <v>11</v>
      </c>
      <c r="U146" s="294"/>
    </row>
    <row r="147" spans="1:21" ht="30.75" customHeight="1" x14ac:dyDescent="0.35">
      <c r="A147" s="218" t="s">
        <v>2447</v>
      </c>
      <c r="B147" s="3">
        <v>133</v>
      </c>
      <c r="C147" s="44">
        <v>10054096</v>
      </c>
      <c r="D147" s="18" t="s">
        <v>1921</v>
      </c>
      <c r="E147" s="18" t="s">
        <v>2027</v>
      </c>
      <c r="F147" s="12">
        <v>3</v>
      </c>
      <c r="G147" s="3" t="s">
        <v>17</v>
      </c>
      <c r="H147" s="39">
        <v>41431</v>
      </c>
      <c r="I147" s="27" t="s">
        <v>984</v>
      </c>
      <c r="J147" s="4" t="s">
        <v>1962</v>
      </c>
      <c r="K147" s="4" t="s">
        <v>988</v>
      </c>
      <c r="L147" s="29" t="s">
        <v>977</v>
      </c>
      <c r="M147" s="79">
        <f t="shared" si="20"/>
        <v>5161.0200000000004</v>
      </c>
      <c r="N147" s="79">
        <f t="shared" si="33"/>
        <v>1720.34</v>
      </c>
      <c r="O147" s="78">
        <v>5161.0200000000004</v>
      </c>
      <c r="P147" s="72">
        <v>9180</v>
      </c>
      <c r="Q147" s="256">
        <f t="shared" si="34"/>
        <v>2019.6</v>
      </c>
      <c r="R147" s="256">
        <f t="shared" si="35"/>
        <v>11199.6</v>
      </c>
      <c r="S147" s="296"/>
      <c r="T147" s="3">
        <v>11</v>
      </c>
      <c r="U147" s="294"/>
    </row>
    <row r="148" spans="1:21" ht="30" customHeight="1" x14ac:dyDescent="0.35">
      <c r="A148" s="218" t="s">
        <v>2448</v>
      </c>
      <c r="B148" s="3">
        <v>134</v>
      </c>
      <c r="C148" s="65">
        <v>10151592</v>
      </c>
      <c r="D148" s="8" t="s">
        <v>1397</v>
      </c>
      <c r="E148" s="19" t="s">
        <v>2219</v>
      </c>
      <c r="F148" s="92">
        <v>2</v>
      </c>
      <c r="G148" s="3" t="s">
        <v>0</v>
      </c>
      <c r="H148" s="40">
        <v>41579</v>
      </c>
      <c r="I148" s="27" t="s">
        <v>984</v>
      </c>
      <c r="J148" s="4" t="s">
        <v>1962</v>
      </c>
      <c r="K148" s="4" t="s">
        <v>988</v>
      </c>
      <c r="L148" s="29" t="s">
        <v>977</v>
      </c>
      <c r="M148" s="79">
        <f t="shared" si="20"/>
        <v>3100</v>
      </c>
      <c r="N148" s="79">
        <f t="shared" si="33"/>
        <v>1550</v>
      </c>
      <c r="O148" s="78">
        <v>3100</v>
      </c>
      <c r="P148" s="72">
        <v>5210</v>
      </c>
      <c r="Q148" s="256">
        <f t="shared" si="34"/>
        <v>1146.2</v>
      </c>
      <c r="R148" s="256">
        <f t="shared" si="35"/>
        <v>6356.2</v>
      </c>
      <c r="S148" s="296"/>
      <c r="T148" s="3">
        <v>11</v>
      </c>
      <c r="U148" s="294"/>
    </row>
    <row r="149" spans="1:21" ht="35.25" customHeight="1" x14ac:dyDescent="0.35">
      <c r="A149" s="218" t="s">
        <v>2449</v>
      </c>
      <c r="B149" s="3">
        <v>135</v>
      </c>
      <c r="C149" s="65">
        <v>10148843</v>
      </c>
      <c r="D149" s="8" t="s">
        <v>1398</v>
      </c>
      <c r="E149" s="19" t="s">
        <v>2219</v>
      </c>
      <c r="F149" s="92">
        <v>15</v>
      </c>
      <c r="G149" s="3" t="s">
        <v>0</v>
      </c>
      <c r="H149" s="40">
        <v>41579</v>
      </c>
      <c r="I149" s="27" t="s">
        <v>984</v>
      </c>
      <c r="J149" s="4" t="s">
        <v>1962</v>
      </c>
      <c r="K149" s="4" t="s">
        <v>988</v>
      </c>
      <c r="L149" s="29" t="s">
        <v>977</v>
      </c>
      <c r="M149" s="79">
        <f t="shared" si="20"/>
        <v>6300</v>
      </c>
      <c r="N149" s="79">
        <f t="shared" si="33"/>
        <v>420</v>
      </c>
      <c r="O149" s="78">
        <v>6300</v>
      </c>
      <c r="P149" s="72">
        <v>10600</v>
      </c>
      <c r="Q149" s="256">
        <f t="shared" si="34"/>
        <v>2332</v>
      </c>
      <c r="R149" s="256">
        <f t="shared" si="35"/>
        <v>12932</v>
      </c>
      <c r="S149" s="297"/>
      <c r="T149" s="3">
        <v>11</v>
      </c>
      <c r="U149" s="294"/>
    </row>
    <row r="150" spans="1:21" ht="15" customHeight="1" x14ac:dyDescent="0.35">
      <c r="A150" s="218"/>
      <c r="B150" s="94"/>
      <c r="C150" s="65"/>
      <c r="D150" s="8"/>
      <c r="E150" s="19"/>
      <c r="F150" s="92"/>
      <c r="G150" s="3"/>
      <c r="H150" s="40"/>
      <c r="I150" s="27"/>
      <c r="J150" s="4"/>
      <c r="K150" s="4"/>
      <c r="L150" s="29"/>
      <c r="M150" s="79"/>
      <c r="N150" s="79"/>
      <c r="O150" s="108">
        <f>SUM(O141:O149)</f>
        <v>62959.33</v>
      </c>
      <c r="P150" s="82">
        <f>SUM(P141:P149)</f>
        <v>105200</v>
      </c>
      <c r="Q150" s="279">
        <f t="shared" ref="Q150:R150" si="36">SUM(Q141:Q149)</f>
        <v>23144</v>
      </c>
      <c r="R150" s="279">
        <f t="shared" si="36"/>
        <v>128344</v>
      </c>
      <c r="S150" s="286">
        <f>R150/100*10</f>
        <v>12834.4</v>
      </c>
      <c r="T150" s="104">
        <v>11</v>
      </c>
      <c r="U150" s="295"/>
    </row>
    <row r="151" spans="1:21" ht="44.25" customHeight="1" x14ac:dyDescent="0.35">
      <c r="A151" s="218" t="s">
        <v>2450</v>
      </c>
      <c r="B151" s="3">
        <v>136</v>
      </c>
      <c r="C151" s="44">
        <v>102002098</v>
      </c>
      <c r="D151" s="18" t="s">
        <v>343</v>
      </c>
      <c r="E151" s="18" t="s">
        <v>2201</v>
      </c>
      <c r="F151" s="12">
        <v>1</v>
      </c>
      <c r="G151" s="3" t="s">
        <v>0</v>
      </c>
      <c r="H151" s="5">
        <v>42004</v>
      </c>
      <c r="I151" s="5" t="s">
        <v>999</v>
      </c>
      <c r="J151" s="4" t="s">
        <v>1962</v>
      </c>
      <c r="K151" s="5" t="s">
        <v>988</v>
      </c>
      <c r="L151" s="5" t="s">
        <v>871</v>
      </c>
      <c r="M151" s="73">
        <f t="shared" si="20"/>
        <v>1109836</v>
      </c>
      <c r="N151" s="73">
        <f t="shared" ref="N151:N168" si="37">O151/F151</f>
        <v>1109836</v>
      </c>
      <c r="O151" s="72">
        <v>1109836</v>
      </c>
      <c r="P151" s="72">
        <v>724020</v>
      </c>
      <c r="Q151" s="256">
        <f t="shared" ref="Q151:Q168" si="38">R151-P151</f>
        <v>159284.4</v>
      </c>
      <c r="R151" s="256">
        <f t="shared" ref="R151:R168" si="39">P151*1.22</f>
        <v>883304.4</v>
      </c>
      <c r="S151" s="289"/>
      <c r="T151" s="3">
        <v>12</v>
      </c>
      <c r="U151" s="292" t="s">
        <v>2309</v>
      </c>
    </row>
    <row r="152" spans="1:21" ht="32.25" customHeight="1" x14ac:dyDescent="0.35">
      <c r="A152" s="218" t="s">
        <v>2451</v>
      </c>
      <c r="B152" s="3">
        <v>137</v>
      </c>
      <c r="C152" s="44">
        <v>10004229</v>
      </c>
      <c r="D152" s="18" t="s">
        <v>170</v>
      </c>
      <c r="E152" s="18" t="s">
        <v>4274</v>
      </c>
      <c r="F152" s="12">
        <v>1</v>
      </c>
      <c r="G152" s="3" t="s">
        <v>0</v>
      </c>
      <c r="H152" s="5">
        <v>42004</v>
      </c>
      <c r="I152" s="5" t="s">
        <v>985</v>
      </c>
      <c r="J152" s="4" t="s">
        <v>1962</v>
      </c>
      <c r="K152" s="6" t="s">
        <v>2000</v>
      </c>
      <c r="L152" s="6" t="s">
        <v>871</v>
      </c>
      <c r="M152" s="80">
        <f t="shared" si="20"/>
        <v>270.42</v>
      </c>
      <c r="N152" s="80">
        <f t="shared" si="37"/>
        <v>270.42</v>
      </c>
      <c r="O152" s="81">
        <v>270.42</v>
      </c>
      <c r="P152" s="72">
        <v>180</v>
      </c>
      <c r="Q152" s="256">
        <f t="shared" si="38"/>
        <v>39.6</v>
      </c>
      <c r="R152" s="256">
        <f t="shared" si="39"/>
        <v>219.6</v>
      </c>
      <c r="S152" s="296"/>
      <c r="T152" s="3">
        <v>12</v>
      </c>
      <c r="U152" s="294"/>
    </row>
    <row r="153" spans="1:21" ht="30" customHeight="1" x14ac:dyDescent="0.35">
      <c r="A153" s="218" t="s">
        <v>2452</v>
      </c>
      <c r="B153" s="3">
        <v>138</v>
      </c>
      <c r="C153" s="44">
        <v>10004231</v>
      </c>
      <c r="D153" s="18" t="s">
        <v>171</v>
      </c>
      <c r="E153" s="18" t="s">
        <v>4274</v>
      </c>
      <c r="F153" s="12">
        <v>1</v>
      </c>
      <c r="G153" s="3" t="s">
        <v>0</v>
      </c>
      <c r="H153" s="5">
        <v>42004</v>
      </c>
      <c r="I153" s="5" t="s">
        <v>985</v>
      </c>
      <c r="J153" s="4" t="s">
        <v>982</v>
      </c>
      <c r="K153" s="6" t="s">
        <v>2020</v>
      </c>
      <c r="L153" s="6" t="s">
        <v>871</v>
      </c>
      <c r="M153" s="80">
        <f t="shared" si="20"/>
        <v>371.43</v>
      </c>
      <c r="N153" s="80">
        <f t="shared" si="37"/>
        <v>371.43</v>
      </c>
      <c r="O153" s="81">
        <v>371.43</v>
      </c>
      <c r="P153" s="72">
        <v>240</v>
      </c>
      <c r="Q153" s="256">
        <f t="shared" si="38"/>
        <v>52.8</v>
      </c>
      <c r="R153" s="256">
        <f t="shared" si="39"/>
        <v>292.8</v>
      </c>
      <c r="S153" s="296"/>
      <c r="T153" s="3">
        <v>12</v>
      </c>
      <c r="U153" s="294"/>
    </row>
    <row r="154" spans="1:21" ht="75" customHeight="1" x14ac:dyDescent="0.35">
      <c r="A154" s="218" t="s">
        <v>2453</v>
      </c>
      <c r="B154" s="3">
        <v>139</v>
      </c>
      <c r="C154" s="44">
        <v>10041551</v>
      </c>
      <c r="D154" s="18" t="s">
        <v>176</v>
      </c>
      <c r="E154" s="18" t="s">
        <v>4274</v>
      </c>
      <c r="F154" s="12">
        <v>1</v>
      </c>
      <c r="G154" s="3" t="s">
        <v>0</v>
      </c>
      <c r="H154" s="5">
        <v>42004</v>
      </c>
      <c r="I154" s="5" t="s">
        <v>985</v>
      </c>
      <c r="J154" s="4" t="s">
        <v>982</v>
      </c>
      <c r="K154" s="6" t="s">
        <v>2021</v>
      </c>
      <c r="L154" s="6" t="s">
        <v>871</v>
      </c>
      <c r="M154" s="80">
        <f t="shared" si="20"/>
        <v>1975.91</v>
      </c>
      <c r="N154" s="80">
        <f t="shared" si="37"/>
        <v>1975.91</v>
      </c>
      <c r="O154" s="81">
        <v>1975.91</v>
      </c>
      <c r="P154" s="72">
        <v>1290</v>
      </c>
      <c r="Q154" s="256">
        <f t="shared" si="38"/>
        <v>283.8</v>
      </c>
      <c r="R154" s="256">
        <f t="shared" si="39"/>
        <v>1573.8</v>
      </c>
      <c r="S154" s="296"/>
      <c r="T154" s="3">
        <v>12</v>
      </c>
      <c r="U154" s="294"/>
    </row>
    <row r="155" spans="1:21" ht="75" customHeight="1" x14ac:dyDescent="0.35">
      <c r="A155" s="218" t="s">
        <v>2454</v>
      </c>
      <c r="B155" s="3">
        <v>140</v>
      </c>
      <c r="C155" s="44">
        <v>10094822</v>
      </c>
      <c r="D155" s="18" t="s">
        <v>202</v>
      </c>
      <c r="E155" s="18" t="s">
        <v>4274</v>
      </c>
      <c r="F155" s="12">
        <v>2</v>
      </c>
      <c r="G155" s="3" t="s">
        <v>0</v>
      </c>
      <c r="H155" s="5">
        <v>42004</v>
      </c>
      <c r="I155" s="5" t="s">
        <v>985</v>
      </c>
      <c r="J155" s="4" t="s">
        <v>982</v>
      </c>
      <c r="K155" s="6" t="s">
        <v>2024</v>
      </c>
      <c r="L155" s="6" t="s">
        <v>871</v>
      </c>
      <c r="M155" s="80">
        <f t="shared" si="20"/>
        <v>854</v>
      </c>
      <c r="N155" s="80">
        <f t="shared" si="37"/>
        <v>427</v>
      </c>
      <c r="O155" s="81">
        <v>854</v>
      </c>
      <c r="P155" s="72">
        <v>560</v>
      </c>
      <c r="Q155" s="256">
        <f t="shared" si="38"/>
        <v>123.2</v>
      </c>
      <c r="R155" s="256">
        <f t="shared" si="39"/>
        <v>683.2</v>
      </c>
      <c r="S155" s="296"/>
      <c r="T155" s="3">
        <v>12</v>
      </c>
      <c r="U155" s="294"/>
    </row>
    <row r="156" spans="1:21" ht="75" customHeight="1" x14ac:dyDescent="0.35">
      <c r="A156" s="218" t="s">
        <v>2455</v>
      </c>
      <c r="B156" s="3">
        <v>141</v>
      </c>
      <c r="C156" s="44">
        <v>10020766</v>
      </c>
      <c r="D156" s="18" t="s">
        <v>274</v>
      </c>
      <c r="E156" s="19" t="s">
        <v>2028</v>
      </c>
      <c r="F156" s="12">
        <v>4</v>
      </c>
      <c r="G156" s="3" t="s">
        <v>0</v>
      </c>
      <c r="H156" s="49" t="s">
        <v>517</v>
      </c>
      <c r="I156" s="49" t="s">
        <v>998</v>
      </c>
      <c r="J156" s="4" t="s">
        <v>1962</v>
      </c>
      <c r="K156" s="3" t="s">
        <v>274</v>
      </c>
      <c r="L156" s="6" t="s">
        <v>871</v>
      </c>
      <c r="M156" s="80">
        <f t="shared" si="20"/>
        <v>3529.48</v>
      </c>
      <c r="N156" s="80">
        <f t="shared" si="37"/>
        <v>882.37</v>
      </c>
      <c r="O156" s="81">
        <v>3529.48</v>
      </c>
      <c r="P156" s="72">
        <v>2300</v>
      </c>
      <c r="Q156" s="256">
        <f t="shared" si="38"/>
        <v>506</v>
      </c>
      <c r="R156" s="256">
        <f t="shared" si="39"/>
        <v>2806</v>
      </c>
      <c r="S156" s="296"/>
      <c r="T156" s="3">
        <v>12</v>
      </c>
      <c r="U156" s="294"/>
    </row>
    <row r="157" spans="1:21" ht="15" customHeight="1" x14ac:dyDescent="0.35">
      <c r="A157" s="218" t="s">
        <v>2456</v>
      </c>
      <c r="B157" s="3">
        <v>142</v>
      </c>
      <c r="C157" s="44">
        <v>102002061</v>
      </c>
      <c r="D157" s="18" t="s">
        <v>286</v>
      </c>
      <c r="E157" s="18" t="s">
        <v>2235</v>
      </c>
      <c r="F157" s="12">
        <v>1</v>
      </c>
      <c r="G157" s="3" t="s">
        <v>0</v>
      </c>
      <c r="H157" s="49" t="s">
        <v>517</v>
      </c>
      <c r="I157" s="5" t="s">
        <v>1003</v>
      </c>
      <c r="J157" s="4" t="s">
        <v>1962</v>
      </c>
      <c r="K157" s="5" t="s">
        <v>988</v>
      </c>
      <c r="L157" s="29" t="s">
        <v>2143</v>
      </c>
      <c r="M157" s="79">
        <f t="shared" ref="M157:M205" si="40">O157</f>
        <v>118850.43</v>
      </c>
      <c r="N157" s="79">
        <f t="shared" si="37"/>
        <v>118850.43</v>
      </c>
      <c r="O157" s="78">
        <v>118850.43</v>
      </c>
      <c r="P157" s="72">
        <v>77530</v>
      </c>
      <c r="Q157" s="256">
        <f t="shared" si="38"/>
        <v>17056.599999999999</v>
      </c>
      <c r="R157" s="256">
        <f t="shared" si="39"/>
        <v>94586.6</v>
      </c>
      <c r="S157" s="296"/>
      <c r="T157" s="3">
        <v>12</v>
      </c>
      <c r="U157" s="294"/>
    </row>
    <row r="158" spans="1:21" ht="15" customHeight="1" x14ac:dyDescent="0.35">
      <c r="A158" s="218" t="s">
        <v>2457</v>
      </c>
      <c r="B158" s="3">
        <v>143</v>
      </c>
      <c r="C158" s="45">
        <v>10020766</v>
      </c>
      <c r="D158" s="2" t="s">
        <v>274</v>
      </c>
      <c r="E158" s="18" t="s">
        <v>711</v>
      </c>
      <c r="F158" s="7">
        <v>3</v>
      </c>
      <c r="G158" s="3" t="s">
        <v>0</v>
      </c>
      <c r="H158" s="5">
        <v>42004</v>
      </c>
      <c r="I158" s="97" t="s">
        <v>1003</v>
      </c>
      <c r="J158" s="4" t="s">
        <v>1962</v>
      </c>
      <c r="K158" s="14" t="s">
        <v>817</v>
      </c>
      <c r="L158" s="95" t="s">
        <v>871</v>
      </c>
      <c r="M158" s="72">
        <f t="shared" si="40"/>
        <v>2652.42</v>
      </c>
      <c r="N158" s="72">
        <f t="shared" si="37"/>
        <v>884.14</v>
      </c>
      <c r="O158" s="72">
        <v>2652.42</v>
      </c>
      <c r="P158" s="72">
        <v>1730</v>
      </c>
      <c r="Q158" s="256">
        <f t="shared" si="38"/>
        <v>380.6</v>
      </c>
      <c r="R158" s="256">
        <f t="shared" si="39"/>
        <v>2110.6</v>
      </c>
      <c r="S158" s="296"/>
      <c r="T158" s="3">
        <v>12</v>
      </c>
      <c r="U158" s="294"/>
    </row>
    <row r="159" spans="1:21" ht="15" customHeight="1" x14ac:dyDescent="0.35">
      <c r="A159" s="218" t="s">
        <v>2458</v>
      </c>
      <c r="B159" s="3">
        <v>144</v>
      </c>
      <c r="C159" s="45">
        <v>10018406</v>
      </c>
      <c r="D159" s="2" t="s">
        <v>616</v>
      </c>
      <c r="E159" s="18" t="s">
        <v>711</v>
      </c>
      <c r="F159" s="12">
        <v>1</v>
      </c>
      <c r="G159" s="3" t="s">
        <v>0</v>
      </c>
      <c r="H159" s="5">
        <v>42004</v>
      </c>
      <c r="I159" s="30" t="s">
        <v>1003</v>
      </c>
      <c r="J159" s="4" t="s">
        <v>1962</v>
      </c>
      <c r="K159" s="14" t="s">
        <v>832</v>
      </c>
      <c r="L159" s="3" t="s">
        <v>871</v>
      </c>
      <c r="M159" s="73">
        <f t="shared" si="40"/>
        <v>3228</v>
      </c>
      <c r="N159" s="73">
        <f t="shared" si="37"/>
        <v>3228</v>
      </c>
      <c r="O159" s="72">
        <v>3228</v>
      </c>
      <c r="P159" s="72">
        <v>2110</v>
      </c>
      <c r="Q159" s="256">
        <f t="shared" si="38"/>
        <v>464.2</v>
      </c>
      <c r="R159" s="256">
        <f t="shared" si="39"/>
        <v>2574.1999999999998</v>
      </c>
      <c r="S159" s="296"/>
      <c r="T159" s="3">
        <v>12</v>
      </c>
      <c r="U159" s="294"/>
    </row>
    <row r="160" spans="1:21" ht="15" customHeight="1" x14ac:dyDescent="0.35">
      <c r="A160" s="218" t="s">
        <v>2459</v>
      </c>
      <c r="B160" s="3">
        <v>145</v>
      </c>
      <c r="C160" s="45">
        <v>10004245</v>
      </c>
      <c r="D160" s="2" t="s">
        <v>676</v>
      </c>
      <c r="E160" s="18" t="s">
        <v>711</v>
      </c>
      <c r="F160" s="7">
        <v>2</v>
      </c>
      <c r="G160" s="3" t="s">
        <v>0</v>
      </c>
      <c r="H160" s="5">
        <v>42004</v>
      </c>
      <c r="I160" s="30" t="s">
        <v>1003</v>
      </c>
      <c r="J160" s="4" t="s">
        <v>1962</v>
      </c>
      <c r="K160" s="14" t="s">
        <v>857</v>
      </c>
      <c r="L160" s="3" t="s">
        <v>871</v>
      </c>
      <c r="M160" s="73">
        <f t="shared" si="40"/>
        <v>758.63</v>
      </c>
      <c r="N160" s="73">
        <f t="shared" si="37"/>
        <v>379.32</v>
      </c>
      <c r="O160" s="72">
        <v>758.63</v>
      </c>
      <c r="P160" s="72">
        <v>490</v>
      </c>
      <c r="Q160" s="256">
        <f t="shared" si="38"/>
        <v>107.8</v>
      </c>
      <c r="R160" s="256">
        <f t="shared" si="39"/>
        <v>597.79999999999995</v>
      </c>
      <c r="S160" s="296"/>
      <c r="T160" s="3">
        <v>12</v>
      </c>
      <c r="U160" s="294"/>
    </row>
    <row r="161" spans="1:22" ht="15" customHeight="1" x14ac:dyDescent="0.35">
      <c r="A161" s="218" t="s">
        <v>2460</v>
      </c>
      <c r="B161" s="3">
        <v>146</v>
      </c>
      <c r="C161" s="45">
        <v>10004249</v>
      </c>
      <c r="D161" s="2" t="s">
        <v>677</v>
      </c>
      <c r="E161" s="18" t="s">
        <v>711</v>
      </c>
      <c r="F161" s="7">
        <v>2</v>
      </c>
      <c r="G161" s="3" t="s">
        <v>0</v>
      </c>
      <c r="H161" s="5">
        <v>42004</v>
      </c>
      <c r="I161" s="30" t="s">
        <v>1003</v>
      </c>
      <c r="J161" s="4" t="s">
        <v>1962</v>
      </c>
      <c r="K161" s="14" t="s">
        <v>858</v>
      </c>
      <c r="L161" s="3" t="s">
        <v>871</v>
      </c>
      <c r="M161" s="73">
        <f t="shared" si="40"/>
        <v>733.57</v>
      </c>
      <c r="N161" s="73">
        <f t="shared" si="37"/>
        <v>366.79</v>
      </c>
      <c r="O161" s="72">
        <v>733.57</v>
      </c>
      <c r="P161" s="72">
        <v>480</v>
      </c>
      <c r="Q161" s="256">
        <f t="shared" si="38"/>
        <v>105.6</v>
      </c>
      <c r="R161" s="256">
        <f t="shared" si="39"/>
        <v>585.6</v>
      </c>
      <c r="S161" s="296"/>
      <c r="T161" s="3">
        <v>12</v>
      </c>
      <c r="U161" s="294"/>
    </row>
    <row r="162" spans="1:22" ht="15" customHeight="1" x14ac:dyDescent="0.35">
      <c r="A162" s="218" t="s">
        <v>2461</v>
      </c>
      <c r="B162" s="3">
        <v>147</v>
      </c>
      <c r="C162" s="45">
        <v>10004257</v>
      </c>
      <c r="D162" s="2" t="s">
        <v>678</v>
      </c>
      <c r="E162" s="18" t="s">
        <v>711</v>
      </c>
      <c r="F162" s="7">
        <v>1</v>
      </c>
      <c r="G162" s="3" t="s">
        <v>0</v>
      </c>
      <c r="H162" s="5">
        <v>42004</v>
      </c>
      <c r="I162" s="30" t="s">
        <v>1003</v>
      </c>
      <c r="J162" s="4" t="s">
        <v>1962</v>
      </c>
      <c r="K162" s="14" t="s">
        <v>859</v>
      </c>
      <c r="L162" s="3" t="s">
        <v>871</v>
      </c>
      <c r="M162" s="73">
        <f t="shared" si="40"/>
        <v>237.9</v>
      </c>
      <c r="N162" s="73">
        <f t="shared" si="37"/>
        <v>237.9</v>
      </c>
      <c r="O162" s="72">
        <v>237.9</v>
      </c>
      <c r="P162" s="72">
        <v>160</v>
      </c>
      <c r="Q162" s="256">
        <f t="shared" si="38"/>
        <v>35.200000000000003</v>
      </c>
      <c r="R162" s="256">
        <f t="shared" si="39"/>
        <v>195.2</v>
      </c>
      <c r="S162" s="296"/>
      <c r="T162" s="3">
        <v>12</v>
      </c>
      <c r="U162" s="294"/>
    </row>
    <row r="163" spans="1:22" ht="15" customHeight="1" x14ac:dyDescent="0.35">
      <c r="A163" s="218" t="s">
        <v>2462</v>
      </c>
      <c r="B163" s="3">
        <v>148</v>
      </c>
      <c r="C163" s="45">
        <v>10004229</v>
      </c>
      <c r="D163" s="2" t="s">
        <v>170</v>
      </c>
      <c r="E163" s="18" t="s">
        <v>711</v>
      </c>
      <c r="F163" s="7">
        <v>2</v>
      </c>
      <c r="G163" s="3" t="s">
        <v>0</v>
      </c>
      <c r="H163" s="5">
        <v>42004</v>
      </c>
      <c r="I163" s="30" t="s">
        <v>1003</v>
      </c>
      <c r="J163" s="4" t="s">
        <v>1962</v>
      </c>
      <c r="K163" s="14" t="s">
        <v>860</v>
      </c>
      <c r="L163" s="3" t="s">
        <v>871</v>
      </c>
      <c r="M163" s="73">
        <f t="shared" si="40"/>
        <v>373.72</v>
      </c>
      <c r="N163" s="73">
        <f t="shared" si="37"/>
        <v>186.86</v>
      </c>
      <c r="O163" s="72">
        <v>373.72</v>
      </c>
      <c r="P163" s="72">
        <v>240</v>
      </c>
      <c r="Q163" s="256">
        <f t="shared" si="38"/>
        <v>52.8</v>
      </c>
      <c r="R163" s="256">
        <f t="shared" si="39"/>
        <v>292.8</v>
      </c>
      <c r="S163" s="296"/>
      <c r="T163" s="3">
        <v>12</v>
      </c>
      <c r="U163" s="294"/>
    </row>
    <row r="164" spans="1:22" ht="15" customHeight="1" x14ac:dyDescent="0.35">
      <c r="A164" s="218" t="s">
        <v>2463</v>
      </c>
      <c r="B164" s="3">
        <v>149</v>
      </c>
      <c r="C164" s="45">
        <v>10015321</v>
      </c>
      <c r="D164" s="2" t="s">
        <v>679</v>
      </c>
      <c r="E164" s="18" t="s">
        <v>711</v>
      </c>
      <c r="F164" s="7">
        <v>1</v>
      </c>
      <c r="G164" s="3" t="s">
        <v>0</v>
      </c>
      <c r="H164" s="5">
        <v>42004</v>
      </c>
      <c r="I164" s="30" t="s">
        <v>1003</v>
      </c>
      <c r="J164" s="4" t="s">
        <v>1962</v>
      </c>
      <c r="K164" s="14" t="s">
        <v>861</v>
      </c>
      <c r="L164" s="3" t="s">
        <v>871</v>
      </c>
      <c r="M164" s="73">
        <f t="shared" si="40"/>
        <v>763.39</v>
      </c>
      <c r="N164" s="73">
        <f t="shared" si="37"/>
        <v>763.39</v>
      </c>
      <c r="O164" s="72">
        <v>763.39</v>
      </c>
      <c r="P164" s="72">
        <v>500</v>
      </c>
      <c r="Q164" s="256">
        <f t="shared" si="38"/>
        <v>110</v>
      </c>
      <c r="R164" s="256">
        <f t="shared" si="39"/>
        <v>610</v>
      </c>
      <c r="S164" s="296"/>
      <c r="T164" s="3">
        <v>12</v>
      </c>
      <c r="U164" s="294"/>
    </row>
    <row r="165" spans="1:22" ht="15" customHeight="1" x14ac:dyDescent="0.35">
      <c r="A165" s="218" t="s">
        <v>2464</v>
      </c>
      <c r="B165" s="3">
        <v>150</v>
      </c>
      <c r="C165" s="44">
        <v>10103066</v>
      </c>
      <c r="D165" s="18" t="s">
        <v>1320</v>
      </c>
      <c r="E165" s="18" t="s">
        <v>2213</v>
      </c>
      <c r="F165" s="12">
        <v>2</v>
      </c>
      <c r="G165" s="3" t="s">
        <v>0</v>
      </c>
      <c r="H165" s="5">
        <v>42004</v>
      </c>
      <c r="I165" s="5" t="s">
        <v>2209</v>
      </c>
      <c r="J165" s="4" t="s">
        <v>1962</v>
      </c>
      <c r="K165" s="49" t="s">
        <v>988</v>
      </c>
      <c r="L165" s="6" t="s">
        <v>871</v>
      </c>
      <c r="M165" s="80">
        <f t="shared" si="40"/>
        <v>210.16</v>
      </c>
      <c r="N165" s="80">
        <f t="shared" si="37"/>
        <v>105.08</v>
      </c>
      <c r="O165" s="81">
        <v>210.16</v>
      </c>
      <c r="P165" s="72">
        <v>140</v>
      </c>
      <c r="Q165" s="256">
        <f t="shared" si="38"/>
        <v>30.8</v>
      </c>
      <c r="R165" s="256">
        <f t="shared" si="39"/>
        <v>170.8</v>
      </c>
      <c r="S165" s="296"/>
      <c r="T165" s="3">
        <v>12</v>
      </c>
      <c r="U165" s="294"/>
    </row>
    <row r="166" spans="1:22" ht="15" customHeight="1" x14ac:dyDescent="0.35">
      <c r="A166" s="218" t="s">
        <v>2465</v>
      </c>
      <c r="B166" s="3">
        <v>151</v>
      </c>
      <c r="C166" s="18">
        <v>102029312</v>
      </c>
      <c r="D166" s="18" t="s">
        <v>2165</v>
      </c>
      <c r="E166" s="18" t="s">
        <v>2197</v>
      </c>
      <c r="F166" s="12">
        <f>111-20</f>
        <v>91</v>
      </c>
      <c r="G166" s="3" t="s">
        <v>0</v>
      </c>
      <c r="H166" s="3">
        <v>2007</v>
      </c>
      <c r="I166" s="13" t="s">
        <v>999</v>
      </c>
      <c r="J166" s="4" t="s">
        <v>1962</v>
      </c>
      <c r="K166" s="4" t="s">
        <v>988</v>
      </c>
      <c r="L166" s="5" t="s">
        <v>871</v>
      </c>
      <c r="M166" s="73">
        <f t="shared" si="40"/>
        <v>125144.11</v>
      </c>
      <c r="N166" s="73">
        <f t="shared" si="37"/>
        <v>1375.21</v>
      </c>
      <c r="O166" s="72">
        <f>152648.31/111*91</f>
        <v>125144.11</v>
      </c>
      <c r="P166" s="72">
        <v>132550</v>
      </c>
      <c r="Q166" s="256">
        <f t="shared" si="38"/>
        <v>29161</v>
      </c>
      <c r="R166" s="256">
        <f t="shared" si="39"/>
        <v>161711</v>
      </c>
      <c r="S166" s="296"/>
      <c r="T166" s="3">
        <v>12</v>
      </c>
      <c r="U166" s="294"/>
    </row>
    <row r="167" spans="1:22" ht="45" customHeight="1" x14ac:dyDescent="0.35">
      <c r="A167" s="218" t="s">
        <v>2466</v>
      </c>
      <c r="B167" s="3">
        <v>152</v>
      </c>
      <c r="C167" s="18">
        <v>102029236</v>
      </c>
      <c r="D167" s="18" t="s">
        <v>2166</v>
      </c>
      <c r="E167" s="18" t="s">
        <v>2197</v>
      </c>
      <c r="F167" s="12">
        <v>14</v>
      </c>
      <c r="G167" s="3" t="s">
        <v>0</v>
      </c>
      <c r="H167" s="3">
        <v>2006</v>
      </c>
      <c r="I167" s="13" t="s">
        <v>999</v>
      </c>
      <c r="J167" s="4" t="s">
        <v>1962</v>
      </c>
      <c r="K167" s="4" t="s">
        <v>988</v>
      </c>
      <c r="L167" s="5" t="s">
        <v>871</v>
      </c>
      <c r="M167" s="73">
        <f t="shared" si="40"/>
        <v>45532.34</v>
      </c>
      <c r="N167" s="73">
        <f t="shared" si="37"/>
        <v>3252.31</v>
      </c>
      <c r="O167" s="72">
        <v>45532.34</v>
      </c>
      <c r="P167" s="72">
        <v>54200</v>
      </c>
      <c r="Q167" s="256">
        <f t="shared" si="38"/>
        <v>11924</v>
      </c>
      <c r="R167" s="256">
        <f t="shared" si="39"/>
        <v>66124</v>
      </c>
      <c r="S167" s="296"/>
      <c r="T167" s="3">
        <v>12</v>
      </c>
      <c r="U167" s="294"/>
    </row>
    <row r="168" spans="1:22" ht="45" customHeight="1" x14ac:dyDescent="0.35">
      <c r="A168" s="218" t="s">
        <v>2467</v>
      </c>
      <c r="B168" s="3">
        <v>153</v>
      </c>
      <c r="C168" s="44">
        <v>10013736</v>
      </c>
      <c r="D168" s="18" t="s">
        <v>70</v>
      </c>
      <c r="E168" s="18" t="s">
        <v>2027</v>
      </c>
      <c r="F168" s="12">
        <v>5</v>
      </c>
      <c r="G168" s="3" t="s">
        <v>0</v>
      </c>
      <c r="H168" s="49">
        <v>2014</v>
      </c>
      <c r="I168" s="27" t="s">
        <v>984</v>
      </c>
      <c r="J168" s="5" t="s">
        <v>1962</v>
      </c>
      <c r="K168" s="49" t="s">
        <v>2073</v>
      </c>
      <c r="L168" s="5" t="s">
        <v>2147</v>
      </c>
      <c r="M168" s="73">
        <f t="shared" si="40"/>
        <v>876.31</v>
      </c>
      <c r="N168" s="73">
        <f t="shared" si="37"/>
        <v>175.26</v>
      </c>
      <c r="O168" s="72">
        <v>876.31</v>
      </c>
      <c r="P168" s="72">
        <v>920</v>
      </c>
      <c r="Q168" s="256">
        <f t="shared" si="38"/>
        <v>202.4</v>
      </c>
      <c r="R168" s="256">
        <f t="shared" si="39"/>
        <v>1122.4000000000001</v>
      </c>
      <c r="S168" s="297"/>
      <c r="T168" s="3">
        <v>12</v>
      </c>
      <c r="U168" s="294"/>
    </row>
    <row r="169" spans="1:22" ht="15" customHeight="1" x14ac:dyDescent="0.35">
      <c r="A169" s="218"/>
      <c r="B169" s="94"/>
      <c r="C169" s="44"/>
      <c r="D169" s="18"/>
      <c r="E169" s="18"/>
      <c r="F169" s="12"/>
      <c r="G169" s="3"/>
      <c r="H169" s="49"/>
      <c r="I169" s="27"/>
      <c r="J169" s="5"/>
      <c r="K169" s="49"/>
      <c r="L169" s="5"/>
      <c r="M169" s="73"/>
      <c r="N169" s="73"/>
      <c r="O169" s="82">
        <f t="shared" ref="O169:R169" si="41">SUM(O151:O168)</f>
        <v>1416198.22</v>
      </c>
      <c r="P169" s="82">
        <f t="shared" si="41"/>
        <v>999640</v>
      </c>
      <c r="Q169" s="279">
        <f t="shared" si="41"/>
        <v>219920.8</v>
      </c>
      <c r="R169" s="279">
        <f t="shared" si="41"/>
        <v>1219560.8</v>
      </c>
      <c r="S169" s="286">
        <f>R169/100*10</f>
        <v>121956.08</v>
      </c>
      <c r="T169" s="104">
        <v>12</v>
      </c>
      <c r="U169" s="295"/>
      <c r="V169" s="134"/>
    </row>
    <row r="170" spans="1:22" ht="15" customHeight="1" x14ac:dyDescent="0.35">
      <c r="A170" s="218" t="s">
        <v>2468</v>
      </c>
      <c r="B170" s="3">
        <v>154</v>
      </c>
      <c r="C170" s="44">
        <v>10135364</v>
      </c>
      <c r="D170" s="18" t="s">
        <v>1505</v>
      </c>
      <c r="E170" s="19" t="s">
        <v>2219</v>
      </c>
      <c r="F170" s="12">
        <v>1</v>
      </c>
      <c r="G170" s="3" t="s">
        <v>0</v>
      </c>
      <c r="H170" s="39">
        <v>41244</v>
      </c>
      <c r="I170" s="27" t="s">
        <v>984</v>
      </c>
      <c r="J170" s="4" t="s">
        <v>1533</v>
      </c>
      <c r="K170" s="4" t="s">
        <v>988</v>
      </c>
      <c r="L170" s="29" t="s">
        <v>977</v>
      </c>
      <c r="M170" s="87">
        <f t="shared" si="40"/>
        <v>22000</v>
      </c>
      <c r="N170" s="87">
        <f>O170/F170</f>
        <v>22000</v>
      </c>
      <c r="O170" s="90">
        <v>22000</v>
      </c>
      <c r="P170" s="72">
        <v>38620</v>
      </c>
      <c r="Q170" s="256">
        <f>R170-P170</f>
        <v>8496.4</v>
      </c>
      <c r="R170" s="256">
        <f>P170*1.22</f>
        <v>47116.4</v>
      </c>
      <c r="S170" s="289"/>
      <c r="T170" s="3">
        <v>13</v>
      </c>
      <c r="U170" s="292" t="s">
        <v>2310</v>
      </c>
    </row>
    <row r="171" spans="1:22" ht="15" customHeight="1" x14ac:dyDescent="0.35">
      <c r="A171" s="218" t="s">
        <v>2469</v>
      </c>
      <c r="B171" s="3">
        <v>155</v>
      </c>
      <c r="C171" s="44">
        <v>10119262</v>
      </c>
      <c r="D171" s="18" t="s">
        <v>1506</v>
      </c>
      <c r="E171" s="19" t="s">
        <v>2219</v>
      </c>
      <c r="F171" s="12">
        <v>1</v>
      </c>
      <c r="G171" s="3" t="s">
        <v>0</v>
      </c>
      <c r="H171" s="39">
        <v>40909</v>
      </c>
      <c r="I171" s="27" t="s">
        <v>984</v>
      </c>
      <c r="J171" s="4" t="s">
        <v>1533</v>
      </c>
      <c r="K171" s="4" t="s">
        <v>988</v>
      </c>
      <c r="L171" s="29" t="s">
        <v>977</v>
      </c>
      <c r="M171" s="87">
        <f t="shared" si="40"/>
        <v>11233.6</v>
      </c>
      <c r="N171" s="87">
        <f>O171/F171</f>
        <v>11233.6</v>
      </c>
      <c r="O171" s="90">
        <v>11233.6</v>
      </c>
      <c r="P171" s="72">
        <v>20540</v>
      </c>
      <c r="Q171" s="256">
        <f>R171-P171</f>
        <v>4518.8</v>
      </c>
      <c r="R171" s="256">
        <f>P171*1.22</f>
        <v>25058.799999999999</v>
      </c>
      <c r="S171" s="296"/>
      <c r="T171" s="3">
        <v>13</v>
      </c>
      <c r="U171" s="293"/>
    </row>
    <row r="172" spans="1:22" ht="12" customHeight="1" x14ac:dyDescent="0.35">
      <c r="A172" s="218" t="s">
        <v>2470</v>
      </c>
      <c r="B172" s="3">
        <v>156</v>
      </c>
      <c r="C172" s="44">
        <v>10119263</v>
      </c>
      <c r="D172" s="18" t="s">
        <v>1507</v>
      </c>
      <c r="E172" s="19" t="s">
        <v>2219</v>
      </c>
      <c r="F172" s="12">
        <v>1</v>
      </c>
      <c r="G172" s="3" t="s">
        <v>0</v>
      </c>
      <c r="H172" s="39">
        <v>41275</v>
      </c>
      <c r="I172" s="27" t="s">
        <v>984</v>
      </c>
      <c r="J172" s="4" t="s">
        <v>1533</v>
      </c>
      <c r="K172" s="4" t="s">
        <v>988</v>
      </c>
      <c r="L172" s="29" t="s">
        <v>977</v>
      </c>
      <c r="M172" s="87">
        <f t="shared" si="40"/>
        <v>10903.2</v>
      </c>
      <c r="N172" s="87">
        <f>O172/F172</f>
        <v>10903.2</v>
      </c>
      <c r="O172" s="90">
        <v>10903.2</v>
      </c>
      <c r="P172" s="72">
        <v>19150</v>
      </c>
      <c r="Q172" s="256">
        <f>R172-P172</f>
        <v>4213</v>
      </c>
      <c r="R172" s="256">
        <f>P172*1.22</f>
        <v>23363</v>
      </c>
      <c r="S172" s="297"/>
      <c r="T172" s="3">
        <v>13</v>
      </c>
      <c r="U172" s="293"/>
    </row>
    <row r="173" spans="1:22" ht="15.75" customHeight="1" x14ac:dyDescent="0.35">
      <c r="A173" s="218"/>
      <c r="B173" s="94"/>
      <c r="C173" s="44"/>
      <c r="D173" s="18"/>
      <c r="E173" s="18"/>
      <c r="F173" s="12"/>
      <c r="G173" s="3"/>
      <c r="H173" s="39"/>
      <c r="I173" s="27"/>
      <c r="J173" s="4"/>
      <c r="K173" s="4"/>
      <c r="L173" s="29"/>
      <c r="M173" s="87"/>
      <c r="N173" s="87"/>
      <c r="O173" s="110">
        <f>+SUM(O170:O172)</f>
        <v>44136.800000000003</v>
      </c>
      <c r="P173" s="276">
        <f t="shared" ref="P173:Q173" si="42">SUM(P170:P172)</f>
        <v>78310</v>
      </c>
      <c r="Q173" s="282">
        <f t="shared" si="42"/>
        <v>17228.2</v>
      </c>
      <c r="R173" s="282">
        <f>SUM(R170:R172)</f>
        <v>95538.2</v>
      </c>
      <c r="S173" s="286">
        <f>R173/100*10</f>
        <v>9553.82</v>
      </c>
      <c r="T173" s="104">
        <v>13</v>
      </c>
      <c r="U173" s="304"/>
      <c r="V173" s="134"/>
    </row>
    <row r="174" spans="1:22" ht="45" customHeight="1" x14ac:dyDescent="0.35">
      <c r="A174" s="218" t="s">
        <v>2471</v>
      </c>
      <c r="B174" s="3">
        <v>157</v>
      </c>
      <c r="C174" s="68">
        <v>10123129</v>
      </c>
      <c r="D174" s="24" t="s">
        <v>1123</v>
      </c>
      <c r="E174" s="74" t="s">
        <v>2238</v>
      </c>
      <c r="F174" s="91">
        <f>2-1</f>
        <v>1</v>
      </c>
      <c r="G174" s="3" t="s">
        <v>0</v>
      </c>
      <c r="H174" s="54">
        <v>40878</v>
      </c>
      <c r="I174" s="4" t="s">
        <v>989</v>
      </c>
      <c r="J174" s="25" t="s">
        <v>2286</v>
      </c>
      <c r="K174" s="23" t="s">
        <v>1274</v>
      </c>
      <c r="L174" s="6" t="s">
        <v>871</v>
      </c>
      <c r="M174" s="80">
        <f t="shared" si="40"/>
        <v>25914.33</v>
      </c>
      <c r="N174" s="80">
        <f>O174/F174</f>
        <v>25914.33</v>
      </c>
      <c r="O174" s="81">
        <v>25914.33</v>
      </c>
      <c r="P174" s="72">
        <v>27390</v>
      </c>
      <c r="Q174" s="256">
        <f>R174-P174</f>
        <v>6025.8</v>
      </c>
      <c r="R174" s="256">
        <f>P174*1.22</f>
        <v>33415.800000000003</v>
      </c>
      <c r="S174" s="289"/>
      <c r="T174" s="3">
        <v>14</v>
      </c>
      <c r="U174" s="292" t="s">
        <v>2310</v>
      </c>
    </row>
    <row r="175" spans="1:22" ht="132.75" customHeight="1" x14ac:dyDescent="0.35">
      <c r="A175" s="218" t="s">
        <v>2472</v>
      </c>
      <c r="B175" s="3">
        <v>158</v>
      </c>
      <c r="C175" s="68">
        <v>102002175</v>
      </c>
      <c r="D175" s="24" t="s">
        <v>1124</v>
      </c>
      <c r="E175" s="74" t="s">
        <v>2238</v>
      </c>
      <c r="F175" s="91">
        <v>1</v>
      </c>
      <c r="G175" s="3" t="s">
        <v>0</v>
      </c>
      <c r="H175" s="54">
        <v>39783</v>
      </c>
      <c r="I175" s="4" t="s">
        <v>989</v>
      </c>
      <c r="J175" s="25" t="s">
        <v>2287</v>
      </c>
      <c r="K175" s="23" t="s">
        <v>1275</v>
      </c>
      <c r="L175" s="6" t="s">
        <v>871</v>
      </c>
      <c r="M175" s="80">
        <f t="shared" si="40"/>
        <v>49000</v>
      </c>
      <c r="N175" s="80">
        <f>O175/F175</f>
        <v>49000</v>
      </c>
      <c r="O175" s="81">
        <v>49000</v>
      </c>
      <c r="P175" s="72">
        <v>61320</v>
      </c>
      <c r="Q175" s="256">
        <f>R175-P175</f>
        <v>13490.4</v>
      </c>
      <c r="R175" s="256">
        <f>P175*1.22</f>
        <v>74810.399999999994</v>
      </c>
      <c r="S175" s="296"/>
      <c r="T175" s="3">
        <v>14</v>
      </c>
      <c r="U175" s="294"/>
    </row>
    <row r="176" spans="1:22" ht="95.25" customHeight="1" x14ac:dyDescent="0.35">
      <c r="A176" s="218" t="s">
        <v>2473</v>
      </c>
      <c r="B176" s="3">
        <v>159</v>
      </c>
      <c r="C176" s="68">
        <v>102002095</v>
      </c>
      <c r="D176" s="24" t="s">
        <v>1125</v>
      </c>
      <c r="E176" s="74" t="s">
        <v>2238</v>
      </c>
      <c r="F176" s="91">
        <v>1</v>
      </c>
      <c r="G176" s="3" t="s">
        <v>0</v>
      </c>
      <c r="H176" s="54">
        <v>41962</v>
      </c>
      <c r="I176" s="4" t="s">
        <v>989</v>
      </c>
      <c r="J176" s="25" t="s">
        <v>1226</v>
      </c>
      <c r="K176" s="23" t="s">
        <v>1276</v>
      </c>
      <c r="L176" s="6" t="s">
        <v>871</v>
      </c>
      <c r="M176" s="80">
        <f t="shared" si="40"/>
        <v>54092.02</v>
      </c>
      <c r="N176" s="80">
        <f>O176/F176</f>
        <v>54092.02</v>
      </c>
      <c r="O176" s="81">
        <v>54092.02</v>
      </c>
      <c r="P176" s="72">
        <v>56790</v>
      </c>
      <c r="Q176" s="256">
        <f>R176-P176</f>
        <v>12493.8</v>
      </c>
      <c r="R176" s="256">
        <f>P176*1.22</f>
        <v>69283.8</v>
      </c>
      <c r="S176" s="296"/>
      <c r="T176" s="3">
        <v>14</v>
      </c>
      <c r="U176" s="294"/>
    </row>
    <row r="177" spans="1:21" ht="15" customHeight="1" x14ac:dyDescent="0.35">
      <c r="A177" s="218" t="s">
        <v>2474</v>
      </c>
      <c r="B177" s="3">
        <v>160</v>
      </c>
      <c r="C177" s="45">
        <v>102001263</v>
      </c>
      <c r="D177" s="15" t="s">
        <v>674</v>
      </c>
      <c r="E177" s="18" t="s">
        <v>711</v>
      </c>
      <c r="F177" s="7">
        <v>1</v>
      </c>
      <c r="G177" s="3" t="s">
        <v>0</v>
      </c>
      <c r="H177" s="5">
        <v>42004</v>
      </c>
      <c r="I177" s="30" t="s">
        <v>1003</v>
      </c>
      <c r="J177" s="4" t="s">
        <v>1962</v>
      </c>
      <c r="K177" s="14" t="s">
        <v>856</v>
      </c>
      <c r="L177" s="3" t="s">
        <v>871</v>
      </c>
      <c r="M177" s="73">
        <f t="shared" si="40"/>
        <v>61354.46</v>
      </c>
      <c r="N177" s="73">
        <f>O177/F177</f>
        <v>61354.46</v>
      </c>
      <c r="O177" s="72">
        <v>61354.46</v>
      </c>
      <c r="P177" s="72">
        <v>63890</v>
      </c>
      <c r="Q177" s="256">
        <f>R177-P177</f>
        <v>14055.8</v>
      </c>
      <c r="R177" s="256">
        <f>P177*1.22</f>
        <v>77945.8</v>
      </c>
      <c r="S177" s="296"/>
      <c r="T177" s="3">
        <v>14</v>
      </c>
      <c r="U177" s="294"/>
    </row>
    <row r="178" spans="1:21" ht="15" customHeight="1" x14ac:dyDescent="0.35">
      <c r="A178" s="218" t="s">
        <v>2475</v>
      </c>
      <c r="B178" s="3">
        <v>161</v>
      </c>
      <c r="C178" s="45">
        <v>102001337</v>
      </c>
      <c r="D178" s="15" t="s">
        <v>675</v>
      </c>
      <c r="E178" s="18" t="s">
        <v>711</v>
      </c>
      <c r="F178" s="7">
        <v>1</v>
      </c>
      <c r="G178" s="3" t="s">
        <v>0</v>
      </c>
      <c r="H178" s="5">
        <v>42004</v>
      </c>
      <c r="I178" s="30" t="s">
        <v>1003</v>
      </c>
      <c r="J178" s="4" t="s">
        <v>1962</v>
      </c>
      <c r="K178" s="14" t="s">
        <v>857</v>
      </c>
      <c r="L178" s="3" t="s">
        <v>871</v>
      </c>
      <c r="M178" s="73">
        <f t="shared" si="40"/>
        <v>20678.240000000002</v>
      </c>
      <c r="N178" s="73">
        <f>O178/F178</f>
        <v>20678.240000000002</v>
      </c>
      <c r="O178" s="72">
        <v>20678.240000000002</v>
      </c>
      <c r="P178" s="72">
        <v>21530</v>
      </c>
      <c r="Q178" s="256">
        <f>R178-P178</f>
        <v>4736.6000000000004</v>
      </c>
      <c r="R178" s="256">
        <f>P178*1.22</f>
        <v>26266.6</v>
      </c>
      <c r="S178" s="297"/>
      <c r="T178" s="3">
        <v>14</v>
      </c>
      <c r="U178" s="294"/>
    </row>
    <row r="179" spans="1:21" ht="15" customHeight="1" x14ac:dyDescent="0.35">
      <c r="A179" s="218"/>
      <c r="B179" s="94"/>
      <c r="C179" s="45"/>
      <c r="D179" s="15"/>
      <c r="E179" s="18"/>
      <c r="F179" s="7"/>
      <c r="G179" s="3"/>
      <c r="H179" s="5"/>
      <c r="I179" s="30"/>
      <c r="J179" s="4"/>
      <c r="K179" s="14"/>
      <c r="L179" s="3"/>
      <c r="M179" s="73"/>
      <c r="N179" s="73"/>
      <c r="O179" s="82">
        <f>SUM(O174:O178)</f>
        <v>211039.05</v>
      </c>
      <c r="P179" s="276">
        <f t="shared" ref="P179:Q179" si="43">SUM(P174:P178)</f>
        <v>230920</v>
      </c>
      <c r="Q179" s="282">
        <f t="shared" si="43"/>
        <v>50802.400000000001</v>
      </c>
      <c r="R179" s="282">
        <f>SUM(R174:R178)</f>
        <v>281722.40000000002</v>
      </c>
      <c r="S179" s="286">
        <f>R179/100*10</f>
        <v>28172.240000000002</v>
      </c>
      <c r="T179" s="104">
        <v>14</v>
      </c>
      <c r="U179" s="295"/>
    </row>
    <row r="180" spans="1:21" ht="52.5" customHeight="1" x14ac:dyDescent="0.35">
      <c r="A180" s="218" t="s">
        <v>2476</v>
      </c>
      <c r="B180" s="3">
        <v>162</v>
      </c>
      <c r="C180" s="45">
        <v>10001062</v>
      </c>
      <c r="D180" s="2" t="s">
        <v>538</v>
      </c>
      <c r="E180" s="19" t="s">
        <v>2220</v>
      </c>
      <c r="F180" s="7">
        <v>22</v>
      </c>
      <c r="G180" s="12" t="s">
        <v>0</v>
      </c>
      <c r="H180" s="37">
        <v>42309</v>
      </c>
      <c r="I180" s="8" t="s">
        <v>984</v>
      </c>
      <c r="J180" s="4" t="s">
        <v>983</v>
      </c>
      <c r="K180" s="4" t="s">
        <v>988</v>
      </c>
      <c r="L180" s="4" t="s">
        <v>977</v>
      </c>
      <c r="M180" s="80">
        <f t="shared" si="40"/>
        <v>10040.98</v>
      </c>
      <c r="N180" s="80">
        <f>O180/F180</f>
        <v>456.41</v>
      </c>
      <c r="O180" s="81">
        <v>10040.98</v>
      </c>
      <c r="P180" s="72">
        <v>10970</v>
      </c>
      <c r="Q180" s="256">
        <f t="shared" ref="Q180:Q211" si="44">R180-P180</f>
        <v>2413.4</v>
      </c>
      <c r="R180" s="256">
        <f t="shared" ref="R180:R211" si="45">P180*1.22</f>
        <v>13383.4</v>
      </c>
      <c r="S180" s="289"/>
      <c r="T180" s="3">
        <v>15</v>
      </c>
      <c r="U180" s="292" t="s">
        <v>2311</v>
      </c>
    </row>
    <row r="181" spans="1:21" ht="15" customHeight="1" x14ac:dyDescent="0.35">
      <c r="A181" s="218" t="s">
        <v>2477</v>
      </c>
      <c r="B181" s="3">
        <v>163</v>
      </c>
      <c r="C181" s="18">
        <v>10001261</v>
      </c>
      <c r="D181" s="18" t="s">
        <v>2242</v>
      </c>
      <c r="E181" s="18" t="s">
        <v>2228</v>
      </c>
      <c r="F181" s="12">
        <v>13</v>
      </c>
      <c r="G181" s="3" t="s">
        <v>0</v>
      </c>
      <c r="H181" s="6">
        <v>41967</v>
      </c>
      <c r="I181" s="27" t="s">
        <v>984</v>
      </c>
      <c r="J181" s="4" t="s">
        <v>1962</v>
      </c>
      <c r="K181" s="4" t="s">
        <v>988</v>
      </c>
      <c r="L181" s="29" t="s">
        <v>977</v>
      </c>
      <c r="M181" s="78">
        <f t="shared" si="40"/>
        <v>3172.64</v>
      </c>
      <c r="N181" s="78">
        <f>O181/F181</f>
        <v>244.05</v>
      </c>
      <c r="O181" s="78">
        <v>3172.64</v>
      </c>
      <c r="P181" s="72">
        <v>3870</v>
      </c>
      <c r="Q181" s="256">
        <f t="shared" si="44"/>
        <v>851.4</v>
      </c>
      <c r="R181" s="256">
        <f t="shared" si="45"/>
        <v>4721.3999999999996</v>
      </c>
      <c r="S181" s="296"/>
      <c r="T181" s="3">
        <v>15</v>
      </c>
      <c r="U181" s="293"/>
    </row>
    <row r="182" spans="1:21" ht="15" customHeight="1" x14ac:dyDescent="0.35">
      <c r="A182" s="218" t="s">
        <v>2478</v>
      </c>
      <c r="B182" s="3">
        <v>164</v>
      </c>
      <c r="C182" s="18">
        <v>10006225</v>
      </c>
      <c r="D182" s="18" t="s">
        <v>2243</v>
      </c>
      <c r="E182" s="18" t="s">
        <v>2219</v>
      </c>
      <c r="F182" s="64">
        <f>1312.02-99.19</f>
        <v>1212.83</v>
      </c>
      <c r="G182" s="3" t="s">
        <v>17</v>
      </c>
      <c r="H182" s="9">
        <v>41997</v>
      </c>
      <c r="I182" s="27" t="s">
        <v>984</v>
      </c>
      <c r="J182" s="4" t="s">
        <v>1962</v>
      </c>
      <c r="K182" s="4" t="s">
        <v>988</v>
      </c>
      <c r="L182" s="29" t="s">
        <v>977</v>
      </c>
      <c r="M182" s="78">
        <f t="shared" si="40"/>
        <v>1231423.17</v>
      </c>
      <c r="N182" s="78">
        <f>O182/F182</f>
        <v>1015.33</v>
      </c>
      <c r="O182" s="78">
        <f>1332133.79/1312.02*1212.83</f>
        <v>1231423.17</v>
      </c>
      <c r="P182" s="72">
        <v>1491420</v>
      </c>
      <c r="Q182" s="256">
        <f t="shared" si="44"/>
        <v>328112.40000000002</v>
      </c>
      <c r="R182" s="256">
        <f t="shared" si="45"/>
        <v>1819532.4</v>
      </c>
      <c r="S182" s="296"/>
      <c r="T182" s="3">
        <v>15</v>
      </c>
      <c r="U182" s="293"/>
    </row>
    <row r="183" spans="1:21" ht="15" customHeight="1" x14ac:dyDescent="0.35">
      <c r="A183" s="218" t="s">
        <v>4087</v>
      </c>
      <c r="B183" s="3">
        <v>165</v>
      </c>
      <c r="C183" s="18">
        <v>10006225</v>
      </c>
      <c r="D183" s="18" t="s">
        <v>2243</v>
      </c>
      <c r="E183" s="18" t="s">
        <v>4088</v>
      </c>
      <c r="F183" s="64">
        <v>99.19</v>
      </c>
      <c r="G183" s="3" t="s">
        <v>17</v>
      </c>
      <c r="H183" s="9">
        <v>41997</v>
      </c>
      <c r="I183" s="27" t="s">
        <v>984</v>
      </c>
      <c r="J183" s="4" t="s">
        <v>1962</v>
      </c>
      <c r="K183" s="4" t="s">
        <v>4266</v>
      </c>
      <c r="L183" s="29" t="s">
        <v>4267</v>
      </c>
      <c r="M183" s="78">
        <f>O183</f>
        <v>100710.62</v>
      </c>
      <c r="N183" s="78">
        <f>M183/F183</f>
        <v>1015.33</v>
      </c>
      <c r="O183" s="78">
        <v>100710.62</v>
      </c>
      <c r="P183" s="72">
        <v>71750</v>
      </c>
      <c r="Q183" s="256">
        <f t="shared" si="44"/>
        <v>15785</v>
      </c>
      <c r="R183" s="256">
        <f t="shared" si="45"/>
        <v>87535</v>
      </c>
      <c r="S183" s="296"/>
      <c r="T183" s="3">
        <v>15</v>
      </c>
      <c r="U183" s="293"/>
    </row>
    <row r="184" spans="1:21" ht="15.75" customHeight="1" x14ac:dyDescent="0.35">
      <c r="A184" s="218" t="s">
        <v>2479</v>
      </c>
      <c r="B184" s="3">
        <v>166</v>
      </c>
      <c r="C184" s="18">
        <v>10128178</v>
      </c>
      <c r="D184" s="18" t="s">
        <v>2244</v>
      </c>
      <c r="E184" s="18" t="s">
        <v>2228</v>
      </c>
      <c r="F184" s="64">
        <v>28.25</v>
      </c>
      <c r="G184" s="3" t="s">
        <v>17</v>
      </c>
      <c r="H184" s="9">
        <v>41789</v>
      </c>
      <c r="I184" s="27" t="s">
        <v>984</v>
      </c>
      <c r="J184" s="4" t="s">
        <v>1962</v>
      </c>
      <c r="K184" s="4" t="s">
        <v>988</v>
      </c>
      <c r="L184" s="29" t="s">
        <v>977</v>
      </c>
      <c r="M184" s="78">
        <f t="shared" si="40"/>
        <v>72824.83</v>
      </c>
      <c r="N184" s="78">
        <f t="shared" ref="N184:N206" si="46">O184/F184</f>
        <v>2577.87</v>
      </c>
      <c r="O184" s="78">
        <v>72824.83</v>
      </c>
      <c r="P184" s="72">
        <v>86660</v>
      </c>
      <c r="Q184" s="256">
        <f t="shared" si="44"/>
        <v>19065.2</v>
      </c>
      <c r="R184" s="256">
        <f t="shared" si="45"/>
        <v>105725.2</v>
      </c>
      <c r="S184" s="296"/>
      <c r="T184" s="3">
        <v>15</v>
      </c>
      <c r="U184" s="293"/>
    </row>
    <row r="185" spans="1:21" ht="15" customHeight="1" x14ac:dyDescent="0.35">
      <c r="A185" s="218" t="s">
        <v>2480</v>
      </c>
      <c r="B185" s="3">
        <v>167</v>
      </c>
      <c r="C185" s="18">
        <v>10006222</v>
      </c>
      <c r="D185" s="18" t="s">
        <v>2245</v>
      </c>
      <c r="E185" s="18" t="s">
        <v>2228</v>
      </c>
      <c r="F185" s="64">
        <v>809.41</v>
      </c>
      <c r="G185" s="3" t="s">
        <v>17</v>
      </c>
      <c r="H185" s="9">
        <v>41936</v>
      </c>
      <c r="I185" s="27" t="s">
        <v>984</v>
      </c>
      <c r="J185" s="4" t="s">
        <v>1962</v>
      </c>
      <c r="K185" s="4" t="s">
        <v>988</v>
      </c>
      <c r="L185" s="29" t="s">
        <v>977</v>
      </c>
      <c r="M185" s="78">
        <f t="shared" si="40"/>
        <v>376934.15</v>
      </c>
      <c r="N185" s="78">
        <f t="shared" si="46"/>
        <v>465.69</v>
      </c>
      <c r="O185" s="78">
        <v>376934.15</v>
      </c>
      <c r="P185" s="72">
        <v>460880</v>
      </c>
      <c r="Q185" s="256">
        <f t="shared" si="44"/>
        <v>101393.60000000001</v>
      </c>
      <c r="R185" s="256">
        <f t="shared" si="45"/>
        <v>562273.6</v>
      </c>
      <c r="S185" s="296"/>
      <c r="T185" s="3">
        <v>15</v>
      </c>
      <c r="U185" s="293"/>
    </row>
    <row r="186" spans="1:21" ht="15" customHeight="1" x14ac:dyDescent="0.35">
      <c r="A186" s="218" t="s">
        <v>2481</v>
      </c>
      <c r="B186" s="3">
        <v>168</v>
      </c>
      <c r="C186" s="44">
        <v>10001078</v>
      </c>
      <c r="D186" s="18" t="s">
        <v>531</v>
      </c>
      <c r="E186" s="18" t="s">
        <v>2228</v>
      </c>
      <c r="F186" s="12">
        <v>22</v>
      </c>
      <c r="G186" s="12" t="s">
        <v>0</v>
      </c>
      <c r="H186" s="4">
        <v>2014</v>
      </c>
      <c r="I186" s="27" t="s">
        <v>984</v>
      </c>
      <c r="J186" s="4" t="s">
        <v>1962</v>
      </c>
      <c r="K186" s="4" t="s">
        <v>988</v>
      </c>
      <c r="L186" s="4" t="s">
        <v>977</v>
      </c>
      <c r="M186" s="81">
        <f t="shared" si="40"/>
        <v>1336.11</v>
      </c>
      <c r="N186" s="81">
        <f t="shared" si="46"/>
        <v>60.73</v>
      </c>
      <c r="O186" s="81">
        <v>1336.11</v>
      </c>
      <c r="P186" s="72">
        <v>1610</v>
      </c>
      <c r="Q186" s="256">
        <f t="shared" si="44"/>
        <v>354.2</v>
      </c>
      <c r="R186" s="256">
        <f t="shared" si="45"/>
        <v>1964.2</v>
      </c>
      <c r="S186" s="296"/>
      <c r="T186" s="3">
        <v>15</v>
      </c>
      <c r="U186" s="293"/>
    </row>
    <row r="187" spans="1:21" ht="15" customHeight="1" x14ac:dyDescent="0.35">
      <c r="A187" s="218" t="s">
        <v>2482</v>
      </c>
      <c r="B187" s="3">
        <v>169</v>
      </c>
      <c r="C187" s="44">
        <v>10029541</v>
      </c>
      <c r="D187" s="18" t="s">
        <v>532</v>
      </c>
      <c r="E187" s="18" t="s">
        <v>2228</v>
      </c>
      <c r="F187" s="12">
        <v>11</v>
      </c>
      <c r="G187" s="12" t="s">
        <v>0</v>
      </c>
      <c r="H187" s="4">
        <v>2014</v>
      </c>
      <c r="I187" s="27" t="s">
        <v>984</v>
      </c>
      <c r="J187" s="4" t="s">
        <v>1962</v>
      </c>
      <c r="K187" s="4" t="s">
        <v>988</v>
      </c>
      <c r="L187" s="4" t="s">
        <v>977</v>
      </c>
      <c r="M187" s="81">
        <f t="shared" si="40"/>
        <v>240.35</v>
      </c>
      <c r="N187" s="81">
        <f t="shared" si="46"/>
        <v>21.85</v>
      </c>
      <c r="O187" s="81">
        <v>240.35</v>
      </c>
      <c r="P187" s="72">
        <v>290</v>
      </c>
      <c r="Q187" s="256">
        <f t="shared" si="44"/>
        <v>63.8</v>
      </c>
      <c r="R187" s="256">
        <f t="shared" si="45"/>
        <v>353.8</v>
      </c>
      <c r="S187" s="296"/>
      <c r="T187" s="3">
        <v>15</v>
      </c>
      <c r="U187" s="293"/>
    </row>
    <row r="188" spans="1:21" ht="23.25" customHeight="1" x14ac:dyDescent="0.35">
      <c r="A188" s="218" t="s">
        <v>2483</v>
      </c>
      <c r="B188" s="3">
        <v>170</v>
      </c>
      <c r="C188" s="44">
        <v>10001084</v>
      </c>
      <c r="D188" s="18" t="s">
        <v>1453</v>
      </c>
      <c r="E188" s="18" t="s">
        <v>2228</v>
      </c>
      <c r="F188" s="12">
        <v>9</v>
      </c>
      <c r="G188" s="3" t="s">
        <v>0</v>
      </c>
      <c r="H188" s="148">
        <v>42004</v>
      </c>
      <c r="I188" s="27" t="s">
        <v>984</v>
      </c>
      <c r="J188" s="4" t="s">
        <v>1962</v>
      </c>
      <c r="K188" s="4" t="s">
        <v>988</v>
      </c>
      <c r="L188" s="29" t="s">
        <v>977</v>
      </c>
      <c r="M188" s="78">
        <f t="shared" si="40"/>
        <v>1232.22</v>
      </c>
      <c r="N188" s="78">
        <f t="shared" si="46"/>
        <v>136.91</v>
      </c>
      <c r="O188" s="78">
        <v>1232.22</v>
      </c>
      <c r="P188" s="72">
        <v>1490</v>
      </c>
      <c r="Q188" s="256">
        <f t="shared" si="44"/>
        <v>327.8</v>
      </c>
      <c r="R188" s="256">
        <f t="shared" si="45"/>
        <v>1817.8</v>
      </c>
      <c r="S188" s="296"/>
      <c r="T188" s="3">
        <v>15</v>
      </c>
      <c r="U188" s="293"/>
    </row>
    <row r="189" spans="1:21" ht="20.25" customHeight="1" x14ac:dyDescent="0.35">
      <c r="A189" s="218" t="s">
        <v>2484</v>
      </c>
      <c r="B189" s="3">
        <v>171</v>
      </c>
      <c r="C189" s="44">
        <v>10005935</v>
      </c>
      <c r="D189" s="18" t="s">
        <v>1785</v>
      </c>
      <c r="E189" s="18" t="s">
        <v>2228</v>
      </c>
      <c r="F189" s="12">
        <v>3</v>
      </c>
      <c r="G189" s="3" t="s">
        <v>0</v>
      </c>
      <c r="H189" s="39">
        <v>41375</v>
      </c>
      <c r="I189" s="27" t="s">
        <v>984</v>
      </c>
      <c r="J189" s="4" t="s">
        <v>1962</v>
      </c>
      <c r="K189" s="4" t="s">
        <v>988</v>
      </c>
      <c r="L189" s="29" t="s">
        <v>977</v>
      </c>
      <c r="M189" s="78">
        <f t="shared" si="40"/>
        <v>766.5</v>
      </c>
      <c r="N189" s="100">
        <f t="shared" si="46"/>
        <v>255.5</v>
      </c>
      <c r="O189" s="78">
        <v>766.5</v>
      </c>
      <c r="P189" s="72">
        <v>910</v>
      </c>
      <c r="Q189" s="256">
        <f t="shared" si="44"/>
        <v>200.2</v>
      </c>
      <c r="R189" s="256">
        <f t="shared" si="45"/>
        <v>1110.2</v>
      </c>
      <c r="S189" s="296"/>
      <c r="T189" s="3">
        <v>15</v>
      </c>
      <c r="U189" s="293"/>
    </row>
    <row r="190" spans="1:21" ht="26.25" customHeight="1" x14ac:dyDescent="0.35">
      <c r="A190" s="218" t="s">
        <v>2485</v>
      </c>
      <c r="B190" s="3">
        <v>172</v>
      </c>
      <c r="C190" s="44">
        <v>10005936</v>
      </c>
      <c r="D190" s="18" t="s">
        <v>1786</v>
      </c>
      <c r="E190" s="18" t="s">
        <v>2228</v>
      </c>
      <c r="F190" s="12">
        <v>6</v>
      </c>
      <c r="G190" s="3" t="s">
        <v>0</v>
      </c>
      <c r="H190" s="39">
        <v>41375</v>
      </c>
      <c r="I190" s="27" t="s">
        <v>984</v>
      </c>
      <c r="J190" s="4" t="s">
        <v>1962</v>
      </c>
      <c r="K190" s="4" t="s">
        <v>988</v>
      </c>
      <c r="L190" s="29" t="s">
        <v>977</v>
      </c>
      <c r="M190" s="79">
        <f t="shared" si="40"/>
        <v>742.8</v>
      </c>
      <c r="N190" s="79">
        <f t="shared" si="46"/>
        <v>123.8</v>
      </c>
      <c r="O190" s="78">
        <v>742.8</v>
      </c>
      <c r="P190" s="72">
        <v>880</v>
      </c>
      <c r="Q190" s="256">
        <f t="shared" si="44"/>
        <v>193.6</v>
      </c>
      <c r="R190" s="256">
        <f t="shared" si="45"/>
        <v>1073.5999999999999</v>
      </c>
      <c r="S190" s="296"/>
      <c r="T190" s="3">
        <v>15</v>
      </c>
      <c r="U190" s="293"/>
    </row>
    <row r="191" spans="1:21" ht="28.5" customHeight="1" x14ac:dyDescent="0.35">
      <c r="A191" s="218" t="s">
        <v>2486</v>
      </c>
      <c r="B191" s="3">
        <v>173</v>
      </c>
      <c r="C191" s="44">
        <v>10030281</v>
      </c>
      <c r="D191" s="18" t="s">
        <v>1788</v>
      </c>
      <c r="E191" s="18" t="s">
        <v>2228</v>
      </c>
      <c r="F191" s="12">
        <v>9</v>
      </c>
      <c r="G191" s="3" t="s">
        <v>0</v>
      </c>
      <c r="H191" s="39">
        <v>41542</v>
      </c>
      <c r="I191" s="27" t="s">
        <v>984</v>
      </c>
      <c r="J191" s="4" t="s">
        <v>1962</v>
      </c>
      <c r="K191" s="4" t="s">
        <v>988</v>
      </c>
      <c r="L191" s="29" t="s">
        <v>977</v>
      </c>
      <c r="M191" s="79">
        <f t="shared" si="40"/>
        <v>1788.07</v>
      </c>
      <c r="N191" s="79">
        <f t="shared" si="46"/>
        <v>198.67</v>
      </c>
      <c r="O191" s="78">
        <v>1788.07</v>
      </c>
      <c r="P191" s="72">
        <v>2150</v>
      </c>
      <c r="Q191" s="256">
        <f t="shared" si="44"/>
        <v>473</v>
      </c>
      <c r="R191" s="256">
        <f t="shared" si="45"/>
        <v>2623</v>
      </c>
      <c r="S191" s="296"/>
      <c r="T191" s="3">
        <v>15</v>
      </c>
      <c r="U191" s="293"/>
    </row>
    <row r="192" spans="1:21" ht="26.25" customHeight="1" x14ac:dyDescent="0.35">
      <c r="A192" s="218" t="s">
        <v>2487</v>
      </c>
      <c r="B192" s="3">
        <v>174</v>
      </c>
      <c r="C192" s="44">
        <v>10008620</v>
      </c>
      <c r="D192" s="18" t="s">
        <v>1796</v>
      </c>
      <c r="E192" s="18" t="s">
        <v>2228</v>
      </c>
      <c r="F192" s="12">
        <v>2</v>
      </c>
      <c r="G192" s="3" t="s">
        <v>0</v>
      </c>
      <c r="H192" s="39">
        <v>41577</v>
      </c>
      <c r="I192" s="27" t="s">
        <v>984</v>
      </c>
      <c r="J192" s="4" t="s">
        <v>1962</v>
      </c>
      <c r="K192" s="4" t="s">
        <v>988</v>
      </c>
      <c r="L192" s="29" t="s">
        <v>977</v>
      </c>
      <c r="M192" s="79">
        <f t="shared" si="40"/>
        <v>1749.56</v>
      </c>
      <c r="N192" s="79">
        <f t="shared" si="46"/>
        <v>874.78</v>
      </c>
      <c r="O192" s="78">
        <v>1749.56</v>
      </c>
      <c r="P192" s="72">
        <v>2100</v>
      </c>
      <c r="Q192" s="256">
        <f t="shared" si="44"/>
        <v>462</v>
      </c>
      <c r="R192" s="256">
        <f t="shared" si="45"/>
        <v>2562</v>
      </c>
      <c r="S192" s="296"/>
      <c r="T192" s="3">
        <v>15</v>
      </c>
      <c r="U192" s="293"/>
    </row>
    <row r="193" spans="1:21" ht="27.75" customHeight="1" x14ac:dyDescent="0.35">
      <c r="A193" s="218" t="s">
        <v>2488</v>
      </c>
      <c r="B193" s="3">
        <v>175</v>
      </c>
      <c r="C193" s="44">
        <v>10050391</v>
      </c>
      <c r="D193" s="18" t="s">
        <v>1797</v>
      </c>
      <c r="E193" s="18" t="s">
        <v>2228</v>
      </c>
      <c r="F193" s="12">
        <v>16</v>
      </c>
      <c r="G193" s="3" t="s">
        <v>0</v>
      </c>
      <c r="H193" s="39">
        <v>41542</v>
      </c>
      <c r="I193" s="27" t="s">
        <v>984</v>
      </c>
      <c r="J193" s="4" t="s">
        <v>1962</v>
      </c>
      <c r="K193" s="4" t="s">
        <v>988</v>
      </c>
      <c r="L193" s="29" t="s">
        <v>977</v>
      </c>
      <c r="M193" s="79">
        <f t="shared" si="40"/>
        <v>1493.13</v>
      </c>
      <c r="N193" s="79">
        <f t="shared" si="46"/>
        <v>93.32</v>
      </c>
      <c r="O193" s="78">
        <v>1493.13</v>
      </c>
      <c r="P193" s="72">
        <v>1800</v>
      </c>
      <c r="Q193" s="256">
        <f t="shared" si="44"/>
        <v>396</v>
      </c>
      <c r="R193" s="256">
        <f t="shared" si="45"/>
        <v>2196</v>
      </c>
      <c r="S193" s="296"/>
      <c r="T193" s="3">
        <v>15</v>
      </c>
      <c r="U193" s="293"/>
    </row>
    <row r="194" spans="1:21" ht="32.25" customHeight="1" x14ac:dyDescent="0.35">
      <c r="A194" s="218" t="s">
        <v>2489</v>
      </c>
      <c r="B194" s="3">
        <v>176</v>
      </c>
      <c r="C194" s="44">
        <v>10037036</v>
      </c>
      <c r="D194" s="18" t="s">
        <v>1799</v>
      </c>
      <c r="E194" s="18" t="s">
        <v>2228</v>
      </c>
      <c r="F194" s="12">
        <v>4</v>
      </c>
      <c r="G194" s="3" t="s">
        <v>0</v>
      </c>
      <c r="H194" s="39">
        <v>41577</v>
      </c>
      <c r="I194" s="27" t="s">
        <v>984</v>
      </c>
      <c r="J194" s="4" t="s">
        <v>1962</v>
      </c>
      <c r="K194" s="4" t="s">
        <v>988</v>
      </c>
      <c r="L194" s="29" t="s">
        <v>977</v>
      </c>
      <c r="M194" s="79">
        <f t="shared" si="40"/>
        <v>2251.81</v>
      </c>
      <c r="N194" s="79">
        <f t="shared" si="46"/>
        <v>562.95000000000005</v>
      </c>
      <c r="O194" s="78">
        <v>2251.81</v>
      </c>
      <c r="P194" s="72">
        <v>2700</v>
      </c>
      <c r="Q194" s="256">
        <f t="shared" si="44"/>
        <v>594</v>
      </c>
      <c r="R194" s="256">
        <f t="shared" si="45"/>
        <v>3294</v>
      </c>
      <c r="S194" s="296"/>
      <c r="T194" s="3">
        <v>15</v>
      </c>
      <c r="U194" s="293"/>
    </row>
    <row r="195" spans="1:21" ht="32.25" customHeight="1" x14ac:dyDescent="0.35">
      <c r="A195" s="218" t="s">
        <v>2490</v>
      </c>
      <c r="B195" s="3">
        <v>177</v>
      </c>
      <c r="C195" s="44">
        <v>10026082</v>
      </c>
      <c r="D195" s="18" t="s">
        <v>1801</v>
      </c>
      <c r="E195" s="18" t="s">
        <v>2228</v>
      </c>
      <c r="F195" s="12">
        <v>5</v>
      </c>
      <c r="G195" s="3" t="s">
        <v>0</v>
      </c>
      <c r="H195" s="39">
        <v>41607</v>
      </c>
      <c r="I195" s="27" t="s">
        <v>984</v>
      </c>
      <c r="J195" s="4" t="s">
        <v>1962</v>
      </c>
      <c r="K195" s="4" t="s">
        <v>988</v>
      </c>
      <c r="L195" s="29" t="s">
        <v>977</v>
      </c>
      <c r="M195" s="79">
        <f t="shared" si="40"/>
        <v>108.3</v>
      </c>
      <c r="N195" s="79">
        <f t="shared" si="46"/>
        <v>21.66</v>
      </c>
      <c r="O195" s="78">
        <v>108.3</v>
      </c>
      <c r="P195" s="72">
        <v>130</v>
      </c>
      <c r="Q195" s="256">
        <f t="shared" si="44"/>
        <v>28.6</v>
      </c>
      <c r="R195" s="256">
        <f t="shared" si="45"/>
        <v>158.6</v>
      </c>
      <c r="S195" s="296"/>
      <c r="T195" s="3">
        <v>15</v>
      </c>
      <c r="U195" s="293"/>
    </row>
    <row r="196" spans="1:21" ht="45" customHeight="1" x14ac:dyDescent="0.35">
      <c r="A196" s="218" t="s">
        <v>2491</v>
      </c>
      <c r="B196" s="3">
        <v>178</v>
      </c>
      <c r="C196" s="44">
        <v>10018506</v>
      </c>
      <c r="D196" s="18" t="s">
        <v>1802</v>
      </c>
      <c r="E196" s="18" t="s">
        <v>2228</v>
      </c>
      <c r="F196" s="12">
        <v>16</v>
      </c>
      <c r="G196" s="3" t="s">
        <v>0</v>
      </c>
      <c r="H196" s="39">
        <v>41375</v>
      </c>
      <c r="I196" s="27" t="s">
        <v>984</v>
      </c>
      <c r="J196" s="4" t="s">
        <v>1962</v>
      </c>
      <c r="K196" s="4" t="s">
        <v>988</v>
      </c>
      <c r="L196" s="29" t="s">
        <v>977</v>
      </c>
      <c r="M196" s="79">
        <f t="shared" si="40"/>
        <v>529.57000000000005</v>
      </c>
      <c r="N196" s="79">
        <f t="shared" si="46"/>
        <v>33.1</v>
      </c>
      <c r="O196" s="78">
        <v>529.57000000000005</v>
      </c>
      <c r="P196" s="72">
        <v>630</v>
      </c>
      <c r="Q196" s="256">
        <f t="shared" si="44"/>
        <v>138.6</v>
      </c>
      <c r="R196" s="256">
        <f t="shared" si="45"/>
        <v>768.6</v>
      </c>
      <c r="S196" s="296"/>
      <c r="T196" s="3">
        <v>15</v>
      </c>
      <c r="U196" s="293"/>
    </row>
    <row r="197" spans="1:21" ht="30" customHeight="1" x14ac:dyDescent="0.35">
      <c r="A197" s="218" t="s">
        <v>2492</v>
      </c>
      <c r="B197" s="3">
        <v>179</v>
      </c>
      <c r="C197" s="44">
        <v>10001062</v>
      </c>
      <c r="D197" s="18" t="s">
        <v>1804</v>
      </c>
      <c r="E197" s="18" t="s">
        <v>2219</v>
      </c>
      <c r="F197" s="12">
        <v>46</v>
      </c>
      <c r="G197" s="3" t="s">
        <v>0</v>
      </c>
      <c r="H197" s="39">
        <v>42352</v>
      </c>
      <c r="I197" s="27" t="s">
        <v>984</v>
      </c>
      <c r="J197" s="4" t="s">
        <v>1962</v>
      </c>
      <c r="K197" s="4" t="s">
        <v>988</v>
      </c>
      <c r="L197" s="29" t="s">
        <v>977</v>
      </c>
      <c r="M197" s="79">
        <f t="shared" si="40"/>
        <v>20994.77</v>
      </c>
      <c r="N197" s="79">
        <f t="shared" si="46"/>
        <v>456.41</v>
      </c>
      <c r="O197" s="78">
        <v>20994.77</v>
      </c>
      <c r="P197" s="72">
        <v>22950</v>
      </c>
      <c r="Q197" s="256">
        <f t="shared" si="44"/>
        <v>5049</v>
      </c>
      <c r="R197" s="256">
        <f t="shared" si="45"/>
        <v>27999</v>
      </c>
      <c r="S197" s="296"/>
      <c r="T197" s="3">
        <v>15</v>
      </c>
      <c r="U197" s="293"/>
    </row>
    <row r="198" spans="1:21" ht="30" customHeight="1" x14ac:dyDescent="0.35">
      <c r="A198" s="218" t="s">
        <v>2493</v>
      </c>
      <c r="B198" s="3">
        <v>180</v>
      </c>
      <c r="C198" s="44">
        <v>10001068</v>
      </c>
      <c r="D198" s="18" t="s">
        <v>1806</v>
      </c>
      <c r="E198" s="18" t="s">
        <v>2228</v>
      </c>
      <c r="F198" s="12">
        <f>112-13</f>
        <v>99</v>
      </c>
      <c r="G198" s="3" t="s">
        <v>0</v>
      </c>
      <c r="H198" s="39">
        <v>42551</v>
      </c>
      <c r="I198" s="27" t="s">
        <v>984</v>
      </c>
      <c r="J198" s="4" t="s">
        <v>1962</v>
      </c>
      <c r="K198" s="4" t="s">
        <v>988</v>
      </c>
      <c r="L198" s="29" t="s">
        <v>977</v>
      </c>
      <c r="M198" s="79">
        <f t="shared" si="40"/>
        <v>57656.23</v>
      </c>
      <c r="N198" s="79">
        <f t="shared" si="46"/>
        <v>582.39</v>
      </c>
      <c r="O198" s="78">
        <f>65227.25/112*99</f>
        <v>57656.23</v>
      </c>
      <c r="P198" s="72">
        <v>61260</v>
      </c>
      <c r="Q198" s="256">
        <f t="shared" si="44"/>
        <v>13477.2</v>
      </c>
      <c r="R198" s="256">
        <f t="shared" si="45"/>
        <v>74737.2</v>
      </c>
      <c r="S198" s="296"/>
      <c r="T198" s="3">
        <v>15</v>
      </c>
      <c r="U198" s="293"/>
    </row>
    <row r="199" spans="1:21" ht="30" customHeight="1" x14ac:dyDescent="0.35">
      <c r="A199" s="218" t="s">
        <v>2494</v>
      </c>
      <c r="B199" s="3">
        <v>181</v>
      </c>
      <c r="C199" s="44">
        <v>10141863</v>
      </c>
      <c r="D199" s="18" t="s">
        <v>1807</v>
      </c>
      <c r="E199" s="18" t="s">
        <v>2228</v>
      </c>
      <c r="F199" s="12">
        <v>77</v>
      </c>
      <c r="G199" s="3" t="s">
        <v>0</v>
      </c>
      <c r="H199" s="39">
        <v>42563</v>
      </c>
      <c r="I199" s="27" t="s">
        <v>984</v>
      </c>
      <c r="J199" s="4" t="s">
        <v>1962</v>
      </c>
      <c r="K199" s="4" t="s">
        <v>988</v>
      </c>
      <c r="L199" s="29" t="s">
        <v>977</v>
      </c>
      <c r="M199" s="79">
        <f t="shared" si="40"/>
        <v>185069.5</v>
      </c>
      <c r="N199" s="79">
        <f t="shared" si="46"/>
        <v>2403.5</v>
      </c>
      <c r="O199" s="78">
        <v>185069.5</v>
      </c>
      <c r="P199" s="72">
        <v>199420</v>
      </c>
      <c r="Q199" s="256">
        <f t="shared" si="44"/>
        <v>43872.4</v>
      </c>
      <c r="R199" s="256">
        <f t="shared" si="45"/>
        <v>243292.4</v>
      </c>
      <c r="S199" s="296"/>
      <c r="T199" s="3">
        <v>15</v>
      </c>
      <c r="U199" s="293"/>
    </row>
    <row r="200" spans="1:21" ht="15" customHeight="1" x14ac:dyDescent="0.35">
      <c r="A200" s="218" t="s">
        <v>2495</v>
      </c>
      <c r="B200" s="3">
        <v>182</v>
      </c>
      <c r="C200" s="44">
        <v>10030308</v>
      </c>
      <c r="D200" s="18" t="s">
        <v>1810</v>
      </c>
      <c r="E200" s="18" t="s">
        <v>2228</v>
      </c>
      <c r="F200" s="12">
        <v>11</v>
      </c>
      <c r="G200" s="3" t="s">
        <v>0</v>
      </c>
      <c r="H200" s="39">
        <v>41542</v>
      </c>
      <c r="I200" s="27" t="s">
        <v>984</v>
      </c>
      <c r="J200" s="4" t="s">
        <v>1962</v>
      </c>
      <c r="K200" s="4" t="s">
        <v>988</v>
      </c>
      <c r="L200" s="29" t="s">
        <v>977</v>
      </c>
      <c r="M200" s="79">
        <f t="shared" si="40"/>
        <v>2927.7</v>
      </c>
      <c r="N200" s="79">
        <f t="shared" si="46"/>
        <v>266.14999999999998</v>
      </c>
      <c r="O200" s="78">
        <v>2927.7</v>
      </c>
      <c r="P200" s="72">
        <v>3520</v>
      </c>
      <c r="Q200" s="256">
        <f t="shared" si="44"/>
        <v>774.4</v>
      </c>
      <c r="R200" s="256">
        <f t="shared" si="45"/>
        <v>4294.3999999999996</v>
      </c>
      <c r="S200" s="296"/>
      <c r="T200" s="3">
        <v>15</v>
      </c>
      <c r="U200" s="293"/>
    </row>
    <row r="201" spans="1:21" ht="15" customHeight="1" x14ac:dyDescent="0.35">
      <c r="A201" s="218" t="s">
        <v>2496</v>
      </c>
      <c r="B201" s="3">
        <v>183</v>
      </c>
      <c r="C201" s="44">
        <v>10050390</v>
      </c>
      <c r="D201" s="18" t="s">
        <v>1811</v>
      </c>
      <c r="E201" s="18" t="s">
        <v>2228</v>
      </c>
      <c r="F201" s="12">
        <v>13</v>
      </c>
      <c r="G201" s="3" t="s">
        <v>0</v>
      </c>
      <c r="H201" s="39">
        <v>41542</v>
      </c>
      <c r="I201" s="27" t="s">
        <v>984</v>
      </c>
      <c r="J201" s="4" t="s">
        <v>1962</v>
      </c>
      <c r="K201" s="4" t="s">
        <v>988</v>
      </c>
      <c r="L201" s="29" t="s">
        <v>977</v>
      </c>
      <c r="M201" s="79">
        <f t="shared" si="40"/>
        <v>1503.84</v>
      </c>
      <c r="N201" s="79">
        <f t="shared" si="46"/>
        <v>115.68</v>
      </c>
      <c r="O201" s="78">
        <v>1503.84</v>
      </c>
      <c r="P201" s="72">
        <v>1810</v>
      </c>
      <c r="Q201" s="256">
        <f t="shared" si="44"/>
        <v>398.2</v>
      </c>
      <c r="R201" s="256">
        <f t="shared" si="45"/>
        <v>2208.1999999999998</v>
      </c>
      <c r="S201" s="296"/>
      <c r="T201" s="3">
        <v>15</v>
      </c>
      <c r="U201" s="293"/>
    </row>
    <row r="202" spans="1:21" ht="15" customHeight="1" x14ac:dyDescent="0.35">
      <c r="A202" s="218" t="s">
        <v>2497</v>
      </c>
      <c r="B202" s="3">
        <v>184</v>
      </c>
      <c r="C202" s="44">
        <v>10042515</v>
      </c>
      <c r="D202" s="18" t="s">
        <v>1812</v>
      </c>
      <c r="E202" s="18" t="s">
        <v>2228</v>
      </c>
      <c r="F202" s="12">
        <v>28</v>
      </c>
      <c r="G202" s="3" t="s">
        <v>0</v>
      </c>
      <c r="H202" s="39">
        <v>41375</v>
      </c>
      <c r="I202" s="27" t="s">
        <v>984</v>
      </c>
      <c r="J202" s="4" t="s">
        <v>1962</v>
      </c>
      <c r="K202" s="4" t="s">
        <v>988</v>
      </c>
      <c r="L202" s="29" t="s">
        <v>977</v>
      </c>
      <c r="M202" s="79">
        <f t="shared" si="40"/>
        <v>1282.68</v>
      </c>
      <c r="N202" s="79">
        <f t="shared" si="46"/>
        <v>45.81</v>
      </c>
      <c r="O202" s="78">
        <v>1282.68</v>
      </c>
      <c r="P202" s="72">
        <v>1520</v>
      </c>
      <c r="Q202" s="256">
        <f t="shared" si="44"/>
        <v>334.4</v>
      </c>
      <c r="R202" s="256">
        <f t="shared" si="45"/>
        <v>1854.4</v>
      </c>
      <c r="S202" s="296"/>
      <c r="T202" s="3">
        <v>15</v>
      </c>
      <c r="U202" s="293"/>
    </row>
    <row r="203" spans="1:21" ht="15" customHeight="1" x14ac:dyDescent="0.35">
      <c r="A203" s="218" t="s">
        <v>2498</v>
      </c>
      <c r="B203" s="3">
        <v>185</v>
      </c>
      <c r="C203" s="44">
        <v>10119448</v>
      </c>
      <c r="D203" s="18" t="s">
        <v>1813</v>
      </c>
      <c r="E203" s="18" t="s">
        <v>2228</v>
      </c>
      <c r="F203" s="12">
        <v>3</v>
      </c>
      <c r="G203" s="3" t="s">
        <v>0</v>
      </c>
      <c r="H203" s="39">
        <v>41375</v>
      </c>
      <c r="I203" s="27" t="s">
        <v>984</v>
      </c>
      <c r="J203" s="4" t="s">
        <v>1962</v>
      </c>
      <c r="K203" s="4" t="s">
        <v>988</v>
      </c>
      <c r="L203" s="29" t="s">
        <v>977</v>
      </c>
      <c r="M203" s="79">
        <f t="shared" si="40"/>
        <v>157.65</v>
      </c>
      <c r="N203" s="79">
        <f t="shared" si="46"/>
        <v>52.55</v>
      </c>
      <c r="O203" s="78">
        <v>157.65</v>
      </c>
      <c r="P203" s="72">
        <v>190</v>
      </c>
      <c r="Q203" s="256">
        <f t="shared" si="44"/>
        <v>41.8</v>
      </c>
      <c r="R203" s="256">
        <f t="shared" si="45"/>
        <v>231.8</v>
      </c>
      <c r="S203" s="296"/>
      <c r="T203" s="3">
        <v>15</v>
      </c>
      <c r="U203" s="293"/>
    </row>
    <row r="204" spans="1:21" ht="15" customHeight="1" x14ac:dyDescent="0.35">
      <c r="A204" s="218" t="s">
        <v>2499</v>
      </c>
      <c r="B204" s="3">
        <v>186</v>
      </c>
      <c r="C204" s="44">
        <v>10043070</v>
      </c>
      <c r="D204" s="18" t="s">
        <v>1818</v>
      </c>
      <c r="E204" s="18" t="s">
        <v>2228</v>
      </c>
      <c r="F204" s="12">
        <v>1</v>
      </c>
      <c r="G204" s="3" t="s">
        <v>0</v>
      </c>
      <c r="H204" s="39">
        <v>41542</v>
      </c>
      <c r="I204" s="27" t="s">
        <v>984</v>
      </c>
      <c r="J204" s="4" t="s">
        <v>1962</v>
      </c>
      <c r="K204" s="4" t="s">
        <v>988</v>
      </c>
      <c r="L204" s="29" t="s">
        <v>977</v>
      </c>
      <c r="M204" s="79">
        <f t="shared" si="40"/>
        <v>294.92</v>
      </c>
      <c r="N204" s="79">
        <f t="shared" si="46"/>
        <v>294.92</v>
      </c>
      <c r="O204" s="78">
        <v>294.92</v>
      </c>
      <c r="P204" s="72">
        <v>350</v>
      </c>
      <c r="Q204" s="256">
        <f t="shared" si="44"/>
        <v>77</v>
      </c>
      <c r="R204" s="256">
        <f t="shared" si="45"/>
        <v>427</v>
      </c>
      <c r="S204" s="296"/>
      <c r="T204" s="3">
        <v>15</v>
      </c>
      <c r="U204" s="293"/>
    </row>
    <row r="205" spans="1:21" ht="15" customHeight="1" x14ac:dyDescent="0.35">
      <c r="A205" s="218" t="s">
        <v>2500</v>
      </c>
      <c r="B205" s="3">
        <v>187</v>
      </c>
      <c r="C205" s="44">
        <v>10136288</v>
      </c>
      <c r="D205" s="18" t="s">
        <v>1819</v>
      </c>
      <c r="E205" s="18" t="s">
        <v>2228</v>
      </c>
      <c r="F205" s="12">
        <v>1</v>
      </c>
      <c r="G205" s="3" t="s">
        <v>0</v>
      </c>
      <c r="H205" s="39">
        <v>41577</v>
      </c>
      <c r="I205" s="27" t="s">
        <v>984</v>
      </c>
      <c r="J205" s="4" t="s">
        <v>1962</v>
      </c>
      <c r="K205" s="4" t="s">
        <v>988</v>
      </c>
      <c r="L205" s="29" t="s">
        <v>977</v>
      </c>
      <c r="M205" s="79">
        <f t="shared" si="40"/>
        <v>2016</v>
      </c>
      <c r="N205" s="79">
        <f t="shared" si="46"/>
        <v>2016</v>
      </c>
      <c r="O205" s="78">
        <v>2016</v>
      </c>
      <c r="P205" s="72">
        <v>2420</v>
      </c>
      <c r="Q205" s="256">
        <f t="shared" si="44"/>
        <v>532.4</v>
      </c>
      <c r="R205" s="256">
        <f t="shared" si="45"/>
        <v>2952.4</v>
      </c>
      <c r="S205" s="296"/>
      <c r="T205" s="3">
        <v>15</v>
      </c>
      <c r="U205" s="293"/>
    </row>
    <row r="206" spans="1:21" ht="15" customHeight="1" x14ac:dyDescent="0.35">
      <c r="A206" s="218" t="s">
        <v>2501</v>
      </c>
      <c r="B206" s="3">
        <v>188</v>
      </c>
      <c r="C206" s="44">
        <v>10129731</v>
      </c>
      <c r="D206" s="18" t="s">
        <v>1820</v>
      </c>
      <c r="E206" s="18" t="s">
        <v>2228</v>
      </c>
      <c r="F206" s="12">
        <f>6-5</f>
        <v>1</v>
      </c>
      <c r="G206" s="3" t="s">
        <v>0</v>
      </c>
      <c r="H206" s="39">
        <v>41577</v>
      </c>
      <c r="I206" s="27" t="s">
        <v>984</v>
      </c>
      <c r="J206" s="4" t="s">
        <v>1962</v>
      </c>
      <c r="K206" s="4" t="s">
        <v>988</v>
      </c>
      <c r="L206" s="29" t="s">
        <v>977</v>
      </c>
      <c r="M206" s="79">
        <f t="shared" ref="M206:M253" si="47">O206</f>
        <v>2750</v>
      </c>
      <c r="N206" s="79">
        <f t="shared" si="46"/>
        <v>2750</v>
      </c>
      <c r="O206" s="78">
        <f>16500/6*1</f>
        <v>2750</v>
      </c>
      <c r="P206" s="72">
        <v>3300</v>
      </c>
      <c r="Q206" s="256">
        <f t="shared" si="44"/>
        <v>726</v>
      </c>
      <c r="R206" s="256">
        <f t="shared" si="45"/>
        <v>4026</v>
      </c>
      <c r="S206" s="296"/>
      <c r="T206" s="3">
        <v>15</v>
      </c>
      <c r="U206" s="293"/>
    </row>
    <row r="207" spans="1:21" ht="32.5" customHeight="1" x14ac:dyDescent="0.35">
      <c r="A207" s="218" t="s">
        <v>4089</v>
      </c>
      <c r="B207" s="3">
        <v>189</v>
      </c>
      <c r="C207" s="44">
        <v>10129731</v>
      </c>
      <c r="D207" s="18" t="s">
        <v>1820</v>
      </c>
      <c r="E207" s="18" t="s">
        <v>2219</v>
      </c>
      <c r="F207" s="12">
        <v>5</v>
      </c>
      <c r="G207" s="3" t="s">
        <v>0</v>
      </c>
      <c r="H207" s="39">
        <v>41577</v>
      </c>
      <c r="I207" s="27" t="s">
        <v>984</v>
      </c>
      <c r="J207" s="4" t="s">
        <v>1962</v>
      </c>
      <c r="K207" s="4" t="s">
        <v>4268</v>
      </c>
      <c r="L207" s="29" t="s">
        <v>871</v>
      </c>
      <c r="M207" s="79">
        <f>O207</f>
        <v>13750</v>
      </c>
      <c r="N207" s="79">
        <f>M207/5</f>
        <v>2750</v>
      </c>
      <c r="O207" s="78">
        <v>13750</v>
      </c>
      <c r="P207" s="72">
        <v>9700</v>
      </c>
      <c r="Q207" s="256">
        <f t="shared" si="44"/>
        <v>2134</v>
      </c>
      <c r="R207" s="256">
        <f t="shared" si="45"/>
        <v>11834</v>
      </c>
      <c r="S207" s="296"/>
      <c r="T207" s="3">
        <v>15</v>
      </c>
      <c r="U207" s="293"/>
    </row>
    <row r="208" spans="1:21" ht="47.25" customHeight="1" x14ac:dyDescent="0.35">
      <c r="A208" s="218" t="s">
        <v>2502</v>
      </c>
      <c r="B208" s="3">
        <v>190</v>
      </c>
      <c r="C208" s="44">
        <v>10107202</v>
      </c>
      <c r="D208" s="18" t="s">
        <v>1821</v>
      </c>
      <c r="E208" s="18" t="s">
        <v>2228</v>
      </c>
      <c r="F208" s="12">
        <v>5</v>
      </c>
      <c r="G208" s="3" t="s">
        <v>0</v>
      </c>
      <c r="H208" s="39">
        <v>41375</v>
      </c>
      <c r="I208" s="27" t="s">
        <v>984</v>
      </c>
      <c r="J208" s="4" t="s">
        <v>1962</v>
      </c>
      <c r="K208" s="4" t="s">
        <v>988</v>
      </c>
      <c r="L208" s="29" t="s">
        <v>977</v>
      </c>
      <c r="M208" s="79">
        <f t="shared" si="47"/>
        <v>213</v>
      </c>
      <c r="N208" s="79">
        <f t="shared" ref="N208:N239" si="48">O208/F208</f>
        <v>42.6</v>
      </c>
      <c r="O208" s="78">
        <v>213</v>
      </c>
      <c r="P208" s="72">
        <v>250</v>
      </c>
      <c r="Q208" s="256">
        <f t="shared" si="44"/>
        <v>55</v>
      </c>
      <c r="R208" s="256">
        <f t="shared" si="45"/>
        <v>305</v>
      </c>
      <c r="S208" s="296"/>
      <c r="T208" s="3">
        <v>15</v>
      </c>
      <c r="U208" s="293"/>
    </row>
    <row r="209" spans="1:21" ht="90" customHeight="1" x14ac:dyDescent="0.35">
      <c r="A209" s="218" t="s">
        <v>2503</v>
      </c>
      <c r="B209" s="3">
        <v>191</v>
      </c>
      <c r="C209" s="44">
        <v>10095066</v>
      </c>
      <c r="D209" s="18" t="s">
        <v>1822</v>
      </c>
      <c r="E209" s="18" t="s">
        <v>2228</v>
      </c>
      <c r="F209" s="12">
        <v>1</v>
      </c>
      <c r="G209" s="3" t="s">
        <v>0</v>
      </c>
      <c r="H209" s="39">
        <v>41375</v>
      </c>
      <c r="I209" s="27" t="s">
        <v>984</v>
      </c>
      <c r="J209" s="4" t="s">
        <v>1962</v>
      </c>
      <c r="K209" s="4" t="s">
        <v>988</v>
      </c>
      <c r="L209" s="29" t="s">
        <v>977</v>
      </c>
      <c r="M209" s="79">
        <f t="shared" si="47"/>
        <v>3408.13</v>
      </c>
      <c r="N209" s="79">
        <f t="shared" si="48"/>
        <v>3408.13</v>
      </c>
      <c r="O209" s="78">
        <v>3408.13</v>
      </c>
      <c r="P209" s="72">
        <v>4040</v>
      </c>
      <c r="Q209" s="256">
        <f t="shared" si="44"/>
        <v>888.8</v>
      </c>
      <c r="R209" s="256">
        <f t="shared" si="45"/>
        <v>4928.8</v>
      </c>
      <c r="S209" s="296"/>
      <c r="T209" s="3">
        <v>15</v>
      </c>
      <c r="U209" s="293"/>
    </row>
    <row r="210" spans="1:21" ht="85.5" customHeight="1" x14ac:dyDescent="0.35">
      <c r="A210" s="218" t="s">
        <v>2504</v>
      </c>
      <c r="B210" s="3">
        <v>192</v>
      </c>
      <c r="C210" s="44">
        <v>10119332</v>
      </c>
      <c r="D210" s="18" t="s">
        <v>1823</v>
      </c>
      <c r="E210" s="18" t="s">
        <v>2228</v>
      </c>
      <c r="F210" s="12">
        <v>17</v>
      </c>
      <c r="G210" s="3" t="s">
        <v>0</v>
      </c>
      <c r="H210" s="39">
        <v>41375</v>
      </c>
      <c r="I210" s="27" t="s">
        <v>984</v>
      </c>
      <c r="J210" s="4" t="s">
        <v>1962</v>
      </c>
      <c r="K210" s="4" t="s">
        <v>988</v>
      </c>
      <c r="L210" s="29" t="s">
        <v>977</v>
      </c>
      <c r="M210" s="79">
        <f t="shared" si="47"/>
        <v>906.48</v>
      </c>
      <c r="N210" s="79">
        <f t="shared" si="48"/>
        <v>53.32</v>
      </c>
      <c r="O210" s="78">
        <v>906.48</v>
      </c>
      <c r="P210" s="72">
        <v>1070</v>
      </c>
      <c r="Q210" s="256">
        <f t="shared" si="44"/>
        <v>235.4</v>
      </c>
      <c r="R210" s="256">
        <f t="shared" si="45"/>
        <v>1305.4000000000001</v>
      </c>
      <c r="S210" s="296"/>
      <c r="T210" s="3">
        <v>15</v>
      </c>
      <c r="U210" s="293"/>
    </row>
    <row r="211" spans="1:21" ht="84.75" customHeight="1" x14ac:dyDescent="0.35">
      <c r="A211" s="218" t="s">
        <v>2505</v>
      </c>
      <c r="B211" s="3">
        <v>193</v>
      </c>
      <c r="C211" s="44">
        <v>10119334</v>
      </c>
      <c r="D211" s="18" t="s">
        <v>1824</v>
      </c>
      <c r="E211" s="18" t="s">
        <v>2228</v>
      </c>
      <c r="F211" s="12">
        <v>35</v>
      </c>
      <c r="G211" s="3" t="s">
        <v>0</v>
      </c>
      <c r="H211" s="39">
        <v>41375</v>
      </c>
      <c r="I211" s="27" t="s">
        <v>984</v>
      </c>
      <c r="J211" s="4" t="s">
        <v>1962</v>
      </c>
      <c r="K211" s="4" t="s">
        <v>988</v>
      </c>
      <c r="L211" s="29" t="s">
        <v>977</v>
      </c>
      <c r="M211" s="79">
        <f t="shared" si="47"/>
        <v>4486.2299999999996</v>
      </c>
      <c r="N211" s="79">
        <f t="shared" si="48"/>
        <v>128.18</v>
      </c>
      <c r="O211" s="78">
        <v>4486.2299999999996</v>
      </c>
      <c r="P211" s="72">
        <v>5320</v>
      </c>
      <c r="Q211" s="256">
        <f t="shared" si="44"/>
        <v>1170.4000000000001</v>
      </c>
      <c r="R211" s="256">
        <f t="shared" si="45"/>
        <v>6490.4</v>
      </c>
      <c r="S211" s="296"/>
      <c r="T211" s="3">
        <v>15</v>
      </c>
      <c r="U211" s="293"/>
    </row>
    <row r="212" spans="1:21" ht="54" customHeight="1" x14ac:dyDescent="0.35">
      <c r="A212" s="218" t="s">
        <v>2506</v>
      </c>
      <c r="B212" s="3">
        <v>194</v>
      </c>
      <c r="C212" s="44">
        <v>10024996</v>
      </c>
      <c r="D212" s="18" t="s">
        <v>1825</v>
      </c>
      <c r="E212" s="18" t="s">
        <v>2228</v>
      </c>
      <c r="F212" s="12">
        <v>6</v>
      </c>
      <c r="G212" s="3" t="s">
        <v>0</v>
      </c>
      <c r="H212" s="39">
        <v>41375</v>
      </c>
      <c r="I212" s="27" t="s">
        <v>984</v>
      </c>
      <c r="J212" s="4" t="s">
        <v>1962</v>
      </c>
      <c r="K212" s="4" t="s">
        <v>988</v>
      </c>
      <c r="L212" s="29" t="s">
        <v>977</v>
      </c>
      <c r="M212" s="79">
        <f t="shared" si="47"/>
        <v>335.59</v>
      </c>
      <c r="N212" s="79">
        <f t="shared" si="48"/>
        <v>55.93</v>
      </c>
      <c r="O212" s="78">
        <v>335.59</v>
      </c>
      <c r="P212" s="72">
        <v>400</v>
      </c>
      <c r="Q212" s="256">
        <f t="shared" ref="Q212:Q243" si="49">R212-P212</f>
        <v>88</v>
      </c>
      <c r="R212" s="256">
        <f t="shared" ref="R212:R243" si="50">P212*1.22</f>
        <v>488</v>
      </c>
      <c r="S212" s="296"/>
      <c r="T212" s="3">
        <v>15</v>
      </c>
      <c r="U212" s="293"/>
    </row>
    <row r="213" spans="1:21" ht="60" customHeight="1" x14ac:dyDescent="0.35">
      <c r="A213" s="218" t="s">
        <v>2507</v>
      </c>
      <c r="B213" s="3">
        <v>195</v>
      </c>
      <c r="C213" s="44">
        <v>10029563</v>
      </c>
      <c r="D213" s="18" t="s">
        <v>1826</v>
      </c>
      <c r="E213" s="18" t="s">
        <v>2228</v>
      </c>
      <c r="F213" s="12">
        <v>1</v>
      </c>
      <c r="G213" s="3" t="s">
        <v>0</v>
      </c>
      <c r="H213" s="39">
        <v>41092</v>
      </c>
      <c r="I213" s="27" t="s">
        <v>984</v>
      </c>
      <c r="J213" s="4" t="s">
        <v>1962</v>
      </c>
      <c r="K213" s="4" t="s">
        <v>988</v>
      </c>
      <c r="L213" s="29" t="s">
        <v>977</v>
      </c>
      <c r="M213" s="79">
        <f t="shared" si="47"/>
        <v>69</v>
      </c>
      <c r="N213" s="79">
        <f t="shared" si="48"/>
        <v>69</v>
      </c>
      <c r="O213" s="78">
        <v>69</v>
      </c>
      <c r="P213" s="72">
        <v>80</v>
      </c>
      <c r="Q213" s="256">
        <f t="shared" si="49"/>
        <v>17.600000000000001</v>
      </c>
      <c r="R213" s="256">
        <f t="shared" si="50"/>
        <v>97.6</v>
      </c>
      <c r="S213" s="296"/>
      <c r="T213" s="3">
        <v>15</v>
      </c>
      <c r="U213" s="293"/>
    </row>
    <row r="214" spans="1:21" ht="75" customHeight="1" x14ac:dyDescent="0.35">
      <c r="A214" s="218" t="s">
        <v>2508</v>
      </c>
      <c r="B214" s="3">
        <v>196</v>
      </c>
      <c r="C214" s="44">
        <v>10118682</v>
      </c>
      <c r="D214" s="18" t="s">
        <v>1831</v>
      </c>
      <c r="E214" s="18" t="s">
        <v>2228</v>
      </c>
      <c r="F214" s="12">
        <v>2</v>
      </c>
      <c r="G214" s="3" t="s">
        <v>0</v>
      </c>
      <c r="H214" s="39">
        <v>41596</v>
      </c>
      <c r="I214" s="27" t="s">
        <v>984</v>
      </c>
      <c r="J214" s="4" t="s">
        <v>1962</v>
      </c>
      <c r="K214" s="4" t="s">
        <v>988</v>
      </c>
      <c r="L214" s="29" t="s">
        <v>977</v>
      </c>
      <c r="M214" s="79">
        <f t="shared" si="47"/>
        <v>342.3</v>
      </c>
      <c r="N214" s="79">
        <f t="shared" si="48"/>
        <v>171.15</v>
      </c>
      <c r="O214" s="78">
        <v>342.3</v>
      </c>
      <c r="P214" s="72">
        <v>430</v>
      </c>
      <c r="Q214" s="256">
        <f t="shared" si="49"/>
        <v>94.6</v>
      </c>
      <c r="R214" s="256">
        <f t="shared" si="50"/>
        <v>524.6</v>
      </c>
      <c r="S214" s="296"/>
      <c r="T214" s="3">
        <v>15</v>
      </c>
      <c r="U214" s="293"/>
    </row>
    <row r="215" spans="1:21" ht="45" customHeight="1" x14ac:dyDescent="0.35">
      <c r="A215" s="218" t="s">
        <v>2509</v>
      </c>
      <c r="B215" s="3">
        <v>197</v>
      </c>
      <c r="C215" s="44">
        <v>10125730</v>
      </c>
      <c r="D215" s="18" t="s">
        <v>1832</v>
      </c>
      <c r="E215" s="18" t="s">
        <v>2228</v>
      </c>
      <c r="F215" s="12">
        <v>2</v>
      </c>
      <c r="G215" s="3" t="s">
        <v>0</v>
      </c>
      <c r="H215" s="39">
        <v>41577</v>
      </c>
      <c r="I215" s="27" t="s">
        <v>984</v>
      </c>
      <c r="J215" s="4" t="s">
        <v>1962</v>
      </c>
      <c r="K215" s="4" t="s">
        <v>988</v>
      </c>
      <c r="L215" s="29" t="s">
        <v>977</v>
      </c>
      <c r="M215" s="79">
        <f t="shared" si="47"/>
        <v>1835.6</v>
      </c>
      <c r="N215" s="79">
        <f t="shared" si="48"/>
        <v>917.8</v>
      </c>
      <c r="O215" s="78">
        <v>1835.6</v>
      </c>
      <c r="P215" s="72">
        <v>2200</v>
      </c>
      <c r="Q215" s="256">
        <f t="shared" si="49"/>
        <v>484</v>
      </c>
      <c r="R215" s="256">
        <f t="shared" si="50"/>
        <v>2684</v>
      </c>
      <c r="S215" s="296"/>
      <c r="T215" s="3">
        <v>15</v>
      </c>
      <c r="U215" s="293"/>
    </row>
    <row r="216" spans="1:21" ht="45" customHeight="1" x14ac:dyDescent="0.35">
      <c r="A216" s="218" t="s">
        <v>2510</v>
      </c>
      <c r="B216" s="3">
        <v>198</v>
      </c>
      <c r="C216" s="44">
        <v>10151637</v>
      </c>
      <c r="D216" s="18" t="s">
        <v>1833</v>
      </c>
      <c r="E216" s="18" t="s">
        <v>2228</v>
      </c>
      <c r="F216" s="12">
        <v>1</v>
      </c>
      <c r="G216" s="3" t="s">
        <v>0</v>
      </c>
      <c r="H216" s="39">
        <v>41577</v>
      </c>
      <c r="I216" s="27" t="s">
        <v>984</v>
      </c>
      <c r="J216" s="4" t="s">
        <v>1962</v>
      </c>
      <c r="K216" s="4" t="s">
        <v>988</v>
      </c>
      <c r="L216" s="29" t="s">
        <v>977</v>
      </c>
      <c r="M216" s="79">
        <f t="shared" si="47"/>
        <v>6917.4</v>
      </c>
      <c r="N216" s="79">
        <f t="shared" si="48"/>
        <v>6917.4</v>
      </c>
      <c r="O216" s="78">
        <v>6917.4</v>
      </c>
      <c r="P216" s="72">
        <v>8300</v>
      </c>
      <c r="Q216" s="256">
        <f t="shared" si="49"/>
        <v>1826</v>
      </c>
      <c r="R216" s="256">
        <f t="shared" si="50"/>
        <v>10126</v>
      </c>
      <c r="S216" s="296"/>
      <c r="T216" s="3">
        <v>15</v>
      </c>
      <c r="U216" s="293"/>
    </row>
    <row r="217" spans="1:21" ht="45" customHeight="1" x14ac:dyDescent="0.35">
      <c r="A217" s="218" t="s">
        <v>2511</v>
      </c>
      <c r="B217" s="3">
        <v>199</v>
      </c>
      <c r="C217" s="44">
        <v>10131641</v>
      </c>
      <c r="D217" s="18" t="s">
        <v>1834</v>
      </c>
      <c r="E217" s="18" t="s">
        <v>2228</v>
      </c>
      <c r="F217" s="12">
        <v>4</v>
      </c>
      <c r="G217" s="3" t="s">
        <v>0</v>
      </c>
      <c r="H217" s="39">
        <v>41577</v>
      </c>
      <c r="I217" s="27" t="s">
        <v>984</v>
      </c>
      <c r="J217" s="4" t="s">
        <v>1962</v>
      </c>
      <c r="K217" s="4" t="s">
        <v>988</v>
      </c>
      <c r="L217" s="29" t="s">
        <v>977</v>
      </c>
      <c r="M217" s="79">
        <f t="shared" si="47"/>
        <v>51613.56</v>
      </c>
      <c r="N217" s="79">
        <f t="shared" si="48"/>
        <v>12903.39</v>
      </c>
      <c r="O217" s="78">
        <v>51613.56</v>
      </c>
      <c r="P217" s="72">
        <v>61910</v>
      </c>
      <c r="Q217" s="256">
        <f t="shared" si="49"/>
        <v>13620.2</v>
      </c>
      <c r="R217" s="256">
        <f t="shared" si="50"/>
        <v>75530.2</v>
      </c>
      <c r="S217" s="296"/>
      <c r="T217" s="3">
        <v>15</v>
      </c>
      <c r="U217" s="293"/>
    </row>
    <row r="218" spans="1:21" ht="60" customHeight="1" x14ac:dyDescent="0.35">
      <c r="A218" s="218" t="s">
        <v>2512</v>
      </c>
      <c r="B218" s="3">
        <v>200</v>
      </c>
      <c r="C218" s="44">
        <v>10137743</v>
      </c>
      <c r="D218" s="18" t="s">
        <v>1835</v>
      </c>
      <c r="E218" s="18" t="s">
        <v>2228</v>
      </c>
      <c r="F218" s="12">
        <v>2</v>
      </c>
      <c r="G218" s="3" t="s">
        <v>0</v>
      </c>
      <c r="H218" s="39">
        <v>41577</v>
      </c>
      <c r="I218" s="27" t="s">
        <v>984</v>
      </c>
      <c r="J218" s="4" t="s">
        <v>1962</v>
      </c>
      <c r="K218" s="4" t="s">
        <v>988</v>
      </c>
      <c r="L218" s="29" t="s">
        <v>977</v>
      </c>
      <c r="M218" s="79">
        <f t="shared" si="47"/>
        <v>11268</v>
      </c>
      <c r="N218" s="79">
        <f t="shared" si="48"/>
        <v>5634</v>
      </c>
      <c r="O218" s="78">
        <v>11268</v>
      </c>
      <c r="P218" s="72">
        <v>13520</v>
      </c>
      <c r="Q218" s="256">
        <f t="shared" si="49"/>
        <v>2974.4</v>
      </c>
      <c r="R218" s="256">
        <f t="shared" si="50"/>
        <v>16494.400000000001</v>
      </c>
      <c r="S218" s="296"/>
      <c r="T218" s="3">
        <v>15</v>
      </c>
      <c r="U218" s="293"/>
    </row>
    <row r="219" spans="1:21" ht="45" customHeight="1" x14ac:dyDescent="0.35">
      <c r="A219" s="218" t="s">
        <v>2513</v>
      </c>
      <c r="B219" s="3">
        <v>201</v>
      </c>
      <c r="C219" s="44">
        <v>10137742</v>
      </c>
      <c r="D219" s="18" t="s">
        <v>1836</v>
      </c>
      <c r="E219" s="18" t="s">
        <v>2228</v>
      </c>
      <c r="F219" s="12">
        <v>2</v>
      </c>
      <c r="G219" s="3" t="s">
        <v>0</v>
      </c>
      <c r="H219" s="39">
        <v>41577</v>
      </c>
      <c r="I219" s="27" t="s">
        <v>984</v>
      </c>
      <c r="J219" s="4" t="s">
        <v>1962</v>
      </c>
      <c r="K219" s="4" t="s">
        <v>988</v>
      </c>
      <c r="L219" s="29" t="s">
        <v>977</v>
      </c>
      <c r="M219" s="79">
        <f t="shared" si="47"/>
        <v>25026.51</v>
      </c>
      <c r="N219" s="79">
        <f t="shared" si="48"/>
        <v>12513.26</v>
      </c>
      <c r="O219" s="78">
        <v>25026.51</v>
      </c>
      <c r="P219" s="72">
        <v>30020</v>
      </c>
      <c r="Q219" s="256">
        <f t="shared" si="49"/>
        <v>6604.4</v>
      </c>
      <c r="R219" s="256">
        <f t="shared" si="50"/>
        <v>36624.400000000001</v>
      </c>
      <c r="S219" s="296"/>
      <c r="T219" s="3">
        <v>15</v>
      </c>
      <c r="U219" s="293"/>
    </row>
    <row r="220" spans="1:21" ht="15" customHeight="1" x14ac:dyDescent="0.35">
      <c r="A220" s="218" t="s">
        <v>2514</v>
      </c>
      <c r="B220" s="3">
        <v>202</v>
      </c>
      <c r="C220" s="44">
        <v>10001538</v>
      </c>
      <c r="D220" s="18" t="s">
        <v>1837</v>
      </c>
      <c r="E220" s="18" t="s">
        <v>2228</v>
      </c>
      <c r="F220" s="12">
        <v>60</v>
      </c>
      <c r="G220" s="3" t="s">
        <v>0</v>
      </c>
      <c r="H220" s="39">
        <v>41375</v>
      </c>
      <c r="I220" s="27" t="s">
        <v>984</v>
      </c>
      <c r="J220" s="4" t="s">
        <v>1962</v>
      </c>
      <c r="K220" s="4" t="s">
        <v>988</v>
      </c>
      <c r="L220" s="29" t="s">
        <v>977</v>
      </c>
      <c r="M220" s="79">
        <f t="shared" si="47"/>
        <v>1497.2</v>
      </c>
      <c r="N220" s="79">
        <f t="shared" si="48"/>
        <v>24.95</v>
      </c>
      <c r="O220" s="78">
        <v>1497.2</v>
      </c>
      <c r="P220" s="72">
        <v>1780</v>
      </c>
      <c r="Q220" s="256">
        <f t="shared" si="49"/>
        <v>391.6</v>
      </c>
      <c r="R220" s="256">
        <f t="shared" si="50"/>
        <v>2171.6</v>
      </c>
      <c r="S220" s="296"/>
      <c r="T220" s="3">
        <v>15</v>
      </c>
      <c r="U220" s="293"/>
    </row>
    <row r="221" spans="1:21" ht="15" customHeight="1" x14ac:dyDescent="0.35">
      <c r="A221" s="218" t="s">
        <v>2515</v>
      </c>
      <c r="B221" s="3">
        <v>203</v>
      </c>
      <c r="C221" s="44">
        <v>10042327</v>
      </c>
      <c r="D221" s="18" t="s">
        <v>1838</v>
      </c>
      <c r="E221" s="18" t="s">
        <v>2228</v>
      </c>
      <c r="F221" s="12">
        <v>10</v>
      </c>
      <c r="G221" s="3" t="s">
        <v>0</v>
      </c>
      <c r="H221" s="39">
        <v>41542</v>
      </c>
      <c r="I221" s="27" t="s">
        <v>984</v>
      </c>
      <c r="J221" s="4" t="s">
        <v>1962</v>
      </c>
      <c r="K221" s="4" t="s">
        <v>988</v>
      </c>
      <c r="L221" s="29" t="s">
        <v>977</v>
      </c>
      <c r="M221" s="79">
        <f t="shared" si="47"/>
        <v>4968.42</v>
      </c>
      <c r="N221" s="79">
        <f t="shared" si="48"/>
        <v>496.84</v>
      </c>
      <c r="O221" s="78">
        <v>4968.42</v>
      </c>
      <c r="P221" s="72">
        <v>5980</v>
      </c>
      <c r="Q221" s="256">
        <f t="shared" si="49"/>
        <v>1315.6</v>
      </c>
      <c r="R221" s="256">
        <f t="shared" si="50"/>
        <v>7295.6</v>
      </c>
      <c r="S221" s="296"/>
      <c r="T221" s="3">
        <v>15</v>
      </c>
      <c r="U221" s="293"/>
    </row>
    <row r="222" spans="1:21" ht="15" customHeight="1" x14ac:dyDescent="0.35">
      <c r="A222" s="218" t="s">
        <v>2516</v>
      </c>
      <c r="B222" s="3">
        <v>204</v>
      </c>
      <c r="C222" s="44">
        <v>10049635</v>
      </c>
      <c r="D222" s="18" t="s">
        <v>1839</v>
      </c>
      <c r="E222" s="18" t="s">
        <v>2228</v>
      </c>
      <c r="F222" s="12">
        <v>4</v>
      </c>
      <c r="G222" s="3" t="s">
        <v>0</v>
      </c>
      <c r="H222" s="39">
        <v>41542</v>
      </c>
      <c r="I222" s="27" t="s">
        <v>984</v>
      </c>
      <c r="J222" s="4" t="s">
        <v>1962</v>
      </c>
      <c r="K222" s="4" t="s">
        <v>988</v>
      </c>
      <c r="L222" s="29" t="s">
        <v>977</v>
      </c>
      <c r="M222" s="79">
        <f t="shared" si="47"/>
        <v>744.4</v>
      </c>
      <c r="N222" s="79">
        <f t="shared" si="48"/>
        <v>186.1</v>
      </c>
      <c r="O222" s="78">
        <v>744.4</v>
      </c>
      <c r="P222" s="72">
        <v>900</v>
      </c>
      <c r="Q222" s="256">
        <f t="shared" si="49"/>
        <v>198</v>
      </c>
      <c r="R222" s="256">
        <f t="shared" si="50"/>
        <v>1098</v>
      </c>
      <c r="S222" s="296"/>
      <c r="T222" s="3">
        <v>15</v>
      </c>
      <c r="U222" s="293"/>
    </row>
    <row r="223" spans="1:21" ht="15" customHeight="1" x14ac:dyDescent="0.35">
      <c r="A223" s="218" t="s">
        <v>2517</v>
      </c>
      <c r="B223" s="3">
        <v>205</v>
      </c>
      <c r="C223" s="44">
        <v>10005371</v>
      </c>
      <c r="D223" s="18" t="s">
        <v>1840</v>
      </c>
      <c r="E223" s="18" t="s">
        <v>2228</v>
      </c>
      <c r="F223" s="12">
        <v>4.9000000000000002E-2</v>
      </c>
      <c r="G223" s="3" t="s">
        <v>3</v>
      </c>
      <c r="H223" s="39">
        <v>42216</v>
      </c>
      <c r="I223" s="27" t="s">
        <v>984</v>
      </c>
      <c r="J223" s="4" t="s">
        <v>1976</v>
      </c>
      <c r="K223" s="4" t="s">
        <v>988</v>
      </c>
      <c r="L223" s="29" t="s">
        <v>977</v>
      </c>
      <c r="M223" s="79">
        <f t="shared" si="47"/>
        <v>1459.09</v>
      </c>
      <c r="N223" s="79">
        <f t="shared" si="48"/>
        <v>29777.35</v>
      </c>
      <c r="O223" s="78">
        <v>1459.09</v>
      </c>
      <c r="P223" s="72">
        <v>1590</v>
      </c>
      <c r="Q223" s="256">
        <f t="shared" si="49"/>
        <v>349.8</v>
      </c>
      <c r="R223" s="256">
        <f t="shared" si="50"/>
        <v>1939.8</v>
      </c>
      <c r="S223" s="296"/>
      <c r="T223" s="3">
        <v>15</v>
      </c>
      <c r="U223" s="293"/>
    </row>
    <row r="224" spans="1:21" ht="15" customHeight="1" x14ac:dyDescent="0.35">
      <c r="A224" s="218" t="s">
        <v>2518</v>
      </c>
      <c r="B224" s="3">
        <v>206</v>
      </c>
      <c r="C224" s="44">
        <v>10005389</v>
      </c>
      <c r="D224" s="18" t="s">
        <v>1841</v>
      </c>
      <c r="E224" s="18" t="s">
        <v>2228</v>
      </c>
      <c r="F224" s="12">
        <v>5.8000000000000003E-2</v>
      </c>
      <c r="G224" s="3" t="s">
        <v>3</v>
      </c>
      <c r="H224" s="39">
        <v>42359</v>
      </c>
      <c r="I224" s="27" t="s">
        <v>984</v>
      </c>
      <c r="J224" s="4" t="s">
        <v>1975</v>
      </c>
      <c r="K224" s="4" t="s">
        <v>988</v>
      </c>
      <c r="L224" s="29" t="s">
        <v>977</v>
      </c>
      <c r="M224" s="79">
        <f t="shared" si="47"/>
        <v>2665.63</v>
      </c>
      <c r="N224" s="79">
        <f t="shared" si="48"/>
        <v>45959.14</v>
      </c>
      <c r="O224" s="78">
        <v>2665.63</v>
      </c>
      <c r="P224" s="72">
        <v>2900</v>
      </c>
      <c r="Q224" s="256">
        <f t="shared" si="49"/>
        <v>638</v>
      </c>
      <c r="R224" s="256">
        <f t="shared" si="50"/>
        <v>3538</v>
      </c>
      <c r="S224" s="296"/>
      <c r="T224" s="3">
        <v>15</v>
      </c>
      <c r="U224" s="293"/>
    </row>
    <row r="225" spans="1:21" ht="33.75" customHeight="1" x14ac:dyDescent="0.35">
      <c r="A225" s="218" t="s">
        <v>2519</v>
      </c>
      <c r="B225" s="3">
        <v>207</v>
      </c>
      <c r="C225" s="44">
        <v>10150055</v>
      </c>
      <c r="D225" s="18" t="s">
        <v>1842</v>
      </c>
      <c r="E225" s="18" t="s">
        <v>2228</v>
      </c>
      <c r="F225" s="12">
        <v>9.5000000000000001E-2</v>
      </c>
      <c r="G225" s="3" t="s">
        <v>3</v>
      </c>
      <c r="H225" s="39">
        <v>41421</v>
      </c>
      <c r="I225" s="27" t="s">
        <v>984</v>
      </c>
      <c r="J225" s="4" t="s">
        <v>1962</v>
      </c>
      <c r="K225" s="4" t="s">
        <v>988</v>
      </c>
      <c r="L225" s="29" t="s">
        <v>977</v>
      </c>
      <c r="M225" s="79">
        <f t="shared" si="47"/>
        <v>3078.77</v>
      </c>
      <c r="N225" s="79">
        <f t="shared" si="48"/>
        <v>32408.11</v>
      </c>
      <c r="O225" s="78">
        <v>3078.77</v>
      </c>
      <c r="P225" s="72">
        <v>3660</v>
      </c>
      <c r="Q225" s="256">
        <f t="shared" si="49"/>
        <v>805.2</v>
      </c>
      <c r="R225" s="256">
        <f t="shared" si="50"/>
        <v>4465.2</v>
      </c>
      <c r="S225" s="296"/>
      <c r="T225" s="3">
        <v>15</v>
      </c>
      <c r="U225" s="293"/>
    </row>
    <row r="226" spans="1:21" ht="15" customHeight="1" x14ac:dyDescent="0.35">
      <c r="A226" s="218" t="s">
        <v>2520</v>
      </c>
      <c r="B226" s="3">
        <v>208</v>
      </c>
      <c r="C226" s="44">
        <v>10089578</v>
      </c>
      <c r="D226" s="18" t="s">
        <v>1843</v>
      </c>
      <c r="E226" s="18" t="s">
        <v>2228</v>
      </c>
      <c r="F226" s="12">
        <v>5.6000000000000001E-2</v>
      </c>
      <c r="G226" s="3" t="s">
        <v>3</v>
      </c>
      <c r="H226" s="39">
        <v>41249</v>
      </c>
      <c r="I226" s="27" t="s">
        <v>984</v>
      </c>
      <c r="J226" s="4" t="s">
        <v>1962</v>
      </c>
      <c r="K226" s="4" t="s">
        <v>988</v>
      </c>
      <c r="L226" s="29" t="s">
        <v>977</v>
      </c>
      <c r="M226" s="79">
        <f t="shared" si="47"/>
        <v>17515.91</v>
      </c>
      <c r="N226" s="79">
        <f t="shared" si="48"/>
        <v>312784.11</v>
      </c>
      <c r="O226" s="78">
        <v>17515.91</v>
      </c>
      <c r="P226" s="72">
        <v>21040</v>
      </c>
      <c r="Q226" s="256">
        <f t="shared" si="49"/>
        <v>4628.8</v>
      </c>
      <c r="R226" s="256">
        <f t="shared" si="50"/>
        <v>25668.799999999999</v>
      </c>
      <c r="S226" s="296"/>
      <c r="T226" s="3">
        <v>15</v>
      </c>
      <c r="U226" s="293"/>
    </row>
    <row r="227" spans="1:21" ht="15" customHeight="1" x14ac:dyDescent="0.35">
      <c r="A227" s="218" t="s">
        <v>2521</v>
      </c>
      <c r="B227" s="3">
        <v>209</v>
      </c>
      <c r="C227" s="44">
        <v>10026043</v>
      </c>
      <c r="D227" s="18" t="s">
        <v>1845</v>
      </c>
      <c r="E227" s="18" t="s">
        <v>2228</v>
      </c>
      <c r="F227" s="12">
        <v>14.58</v>
      </c>
      <c r="G227" s="3" t="s">
        <v>17</v>
      </c>
      <c r="H227" s="39">
        <v>41375</v>
      </c>
      <c r="I227" s="27" t="s">
        <v>984</v>
      </c>
      <c r="J227" s="4" t="s">
        <v>1962</v>
      </c>
      <c r="K227" s="4" t="s">
        <v>988</v>
      </c>
      <c r="L227" s="29" t="s">
        <v>977</v>
      </c>
      <c r="M227" s="79">
        <f t="shared" si="47"/>
        <v>29.43</v>
      </c>
      <c r="N227" s="79">
        <f t="shared" si="48"/>
        <v>2.02</v>
      </c>
      <c r="O227" s="78">
        <v>29.43</v>
      </c>
      <c r="P227" s="72">
        <v>30</v>
      </c>
      <c r="Q227" s="256">
        <f t="shared" si="49"/>
        <v>6.6</v>
      </c>
      <c r="R227" s="256">
        <f t="shared" si="50"/>
        <v>36.6</v>
      </c>
      <c r="S227" s="296"/>
      <c r="T227" s="3">
        <v>15</v>
      </c>
      <c r="U227" s="293"/>
    </row>
    <row r="228" spans="1:21" ht="15" customHeight="1" x14ac:dyDescent="0.35">
      <c r="A228" s="218" t="s">
        <v>2522</v>
      </c>
      <c r="B228" s="3">
        <v>210</v>
      </c>
      <c r="C228" s="44">
        <v>10026472</v>
      </c>
      <c r="D228" s="18" t="s">
        <v>1846</v>
      </c>
      <c r="E228" s="18" t="s">
        <v>2228</v>
      </c>
      <c r="F228" s="12">
        <v>190.5</v>
      </c>
      <c r="G228" s="3" t="s">
        <v>17</v>
      </c>
      <c r="H228" s="39">
        <v>41375</v>
      </c>
      <c r="I228" s="27" t="s">
        <v>984</v>
      </c>
      <c r="J228" s="4" t="s">
        <v>1962</v>
      </c>
      <c r="K228" s="4" t="s">
        <v>988</v>
      </c>
      <c r="L228" s="29" t="s">
        <v>977</v>
      </c>
      <c r="M228" s="79">
        <f t="shared" si="47"/>
        <v>270.25</v>
      </c>
      <c r="N228" s="79">
        <f t="shared" si="48"/>
        <v>1.42</v>
      </c>
      <c r="O228" s="78">
        <v>270.25</v>
      </c>
      <c r="P228" s="72">
        <v>320</v>
      </c>
      <c r="Q228" s="256">
        <f t="shared" si="49"/>
        <v>70.400000000000006</v>
      </c>
      <c r="R228" s="256">
        <f t="shared" si="50"/>
        <v>390.4</v>
      </c>
      <c r="S228" s="296"/>
      <c r="T228" s="3">
        <v>15</v>
      </c>
      <c r="U228" s="293"/>
    </row>
    <row r="229" spans="1:21" ht="15" customHeight="1" x14ac:dyDescent="0.35">
      <c r="A229" s="218" t="s">
        <v>2523</v>
      </c>
      <c r="B229" s="3">
        <v>211</v>
      </c>
      <c r="C229" s="44">
        <v>10005413</v>
      </c>
      <c r="D229" s="18" t="s">
        <v>1847</v>
      </c>
      <c r="E229" s="18" t="s">
        <v>2228</v>
      </c>
      <c r="F229" s="12">
        <v>2</v>
      </c>
      <c r="G229" s="3" t="s">
        <v>0</v>
      </c>
      <c r="H229" s="39">
        <v>41375</v>
      </c>
      <c r="I229" s="27" t="s">
        <v>984</v>
      </c>
      <c r="J229" s="4" t="s">
        <v>1962</v>
      </c>
      <c r="K229" s="4" t="s">
        <v>988</v>
      </c>
      <c r="L229" s="29" t="s">
        <v>977</v>
      </c>
      <c r="M229" s="79">
        <f t="shared" si="47"/>
        <v>2140.4499999999998</v>
      </c>
      <c r="N229" s="79">
        <f t="shared" si="48"/>
        <v>1070.23</v>
      </c>
      <c r="O229" s="78">
        <v>2140.4499999999998</v>
      </c>
      <c r="P229" s="72">
        <v>2540</v>
      </c>
      <c r="Q229" s="256">
        <f t="shared" si="49"/>
        <v>558.79999999999995</v>
      </c>
      <c r="R229" s="256">
        <f t="shared" si="50"/>
        <v>3098.8</v>
      </c>
      <c r="S229" s="296"/>
      <c r="T229" s="3">
        <v>15</v>
      </c>
      <c r="U229" s="293"/>
    </row>
    <row r="230" spans="1:21" ht="15" customHeight="1" x14ac:dyDescent="0.35">
      <c r="A230" s="218" t="s">
        <v>2524</v>
      </c>
      <c r="B230" s="3">
        <v>212</v>
      </c>
      <c r="C230" s="44">
        <v>10136876</v>
      </c>
      <c r="D230" s="18" t="s">
        <v>1848</v>
      </c>
      <c r="E230" s="18" t="s">
        <v>2228</v>
      </c>
      <c r="F230" s="12">
        <v>9</v>
      </c>
      <c r="G230" s="3" t="s">
        <v>0</v>
      </c>
      <c r="H230" s="39">
        <v>41577</v>
      </c>
      <c r="I230" s="27" t="s">
        <v>984</v>
      </c>
      <c r="J230" s="4" t="s">
        <v>1962</v>
      </c>
      <c r="K230" s="4" t="s">
        <v>988</v>
      </c>
      <c r="L230" s="29" t="s">
        <v>977</v>
      </c>
      <c r="M230" s="79">
        <f t="shared" si="47"/>
        <v>11061</v>
      </c>
      <c r="N230" s="79">
        <f t="shared" si="48"/>
        <v>1229</v>
      </c>
      <c r="O230" s="78">
        <v>11061</v>
      </c>
      <c r="P230" s="72">
        <v>13270</v>
      </c>
      <c r="Q230" s="256">
        <f t="shared" si="49"/>
        <v>2919.4</v>
      </c>
      <c r="R230" s="256">
        <f t="shared" si="50"/>
        <v>16189.4</v>
      </c>
      <c r="S230" s="296"/>
      <c r="T230" s="3">
        <v>15</v>
      </c>
      <c r="U230" s="293"/>
    </row>
    <row r="231" spans="1:21" ht="15" customHeight="1" x14ac:dyDescent="0.35">
      <c r="A231" s="218" t="s">
        <v>2525</v>
      </c>
      <c r="B231" s="3">
        <v>213</v>
      </c>
      <c r="C231" s="44">
        <v>10005415</v>
      </c>
      <c r="D231" s="18" t="s">
        <v>1849</v>
      </c>
      <c r="E231" s="18" t="s">
        <v>2228</v>
      </c>
      <c r="F231" s="12">
        <v>34</v>
      </c>
      <c r="G231" s="3" t="s">
        <v>0</v>
      </c>
      <c r="H231" s="39">
        <v>41577</v>
      </c>
      <c r="I231" s="27" t="s">
        <v>984</v>
      </c>
      <c r="J231" s="4" t="s">
        <v>1962</v>
      </c>
      <c r="K231" s="4" t="s">
        <v>988</v>
      </c>
      <c r="L231" s="29" t="s">
        <v>977</v>
      </c>
      <c r="M231" s="79">
        <f t="shared" si="47"/>
        <v>20908.54</v>
      </c>
      <c r="N231" s="79">
        <f t="shared" si="48"/>
        <v>614.96</v>
      </c>
      <c r="O231" s="78">
        <v>20908.54</v>
      </c>
      <c r="P231" s="72">
        <v>25080</v>
      </c>
      <c r="Q231" s="256">
        <f t="shared" si="49"/>
        <v>5517.6</v>
      </c>
      <c r="R231" s="256">
        <f t="shared" si="50"/>
        <v>30597.599999999999</v>
      </c>
      <c r="S231" s="296"/>
      <c r="T231" s="3">
        <v>15</v>
      </c>
      <c r="U231" s="293"/>
    </row>
    <row r="232" spans="1:21" ht="15" customHeight="1" x14ac:dyDescent="0.35">
      <c r="A232" s="218" t="s">
        <v>2526</v>
      </c>
      <c r="B232" s="3">
        <v>214</v>
      </c>
      <c r="C232" s="44">
        <v>10136902</v>
      </c>
      <c r="D232" s="18" t="s">
        <v>1850</v>
      </c>
      <c r="E232" s="18" t="s">
        <v>2228</v>
      </c>
      <c r="F232" s="12">
        <v>1</v>
      </c>
      <c r="G232" s="3" t="s">
        <v>0</v>
      </c>
      <c r="H232" s="39">
        <v>41577</v>
      </c>
      <c r="I232" s="27" t="s">
        <v>984</v>
      </c>
      <c r="J232" s="4" t="s">
        <v>1962</v>
      </c>
      <c r="K232" s="4" t="s">
        <v>988</v>
      </c>
      <c r="L232" s="29" t="s">
        <v>977</v>
      </c>
      <c r="M232" s="79">
        <f t="shared" si="47"/>
        <v>5470</v>
      </c>
      <c r="N232" s="79">
        <f t="shared" si="48"/>
        <v>5470</v>
      </c>
      <c r="O232" s="78">
        <v>5470</v>
      </c>
      <c r="P232" s="72">
        <v>6560</v>
      </c>
      <c r="Q232" s="256">
        <f t="shared" si="49"/>
        <v>1443.2</v>
      </c>
      <c r="R232" s="256">
        <f t="shared" si="50"/>
        <v>8003.2</v>
      </c>
      <c r="S232" s="296"/>
      <c r="T232" s="3">
        <v>15</v>
      </c>
      <c r="U232" s="293"/>
    </row>
    <row r="233" spans="1:21" ht="15" customHeight="1" x14ac:dyDescent="0.35">
      <c r="A233" s="218" t="s">
        <v>2527</v>
      </c>
      <c r="B233" s="3">
        <v>215</v>
      </c>
      <c r="C233" s="44">
        <v>10031145</v>
      </c>
      <c r="D233" s="18" t="s">
        <v>1887</v>
      </c>
      <c r="E233" s="18" t="s">
        <v>2228</v>
      </c>
      <c r="F233" s="12">
        <v>7</v>
      </c>
      <c r="G233" s="3" t="s">
        <v>0</v>
      </c>
      <c r="H233" s="39">
        <v>41375</v>
      </c>
      <c r="I233" s="27" t="s">
        <v>984</v>
      </c>
      <c r="J233" s="4" t="s">
        <v>1962</v>
      </c>
      <c r="K233" s="4" t="s">
        <v>988</v>
      </c>
      <c r="L233" s="29" t="s">
        <v>977</v>
      </c>
      <c r="M233" s="79">
        <f t="shared" si="47"/>
        <v>324.63</v>
      </c>
      <c r="N233" s="79">
        <f t="shared" si="48"/>
        <v>46.38</v>
      </c>
      <c r="O233" s="78">
        <v>324.63</v>
      </c>
      <c r="P233" s="72">
        <v>380</v>
      </c>
      <c r="Q233" s="256">
        <f t="shared" si="49"/>
        <v>83.6</v>
      </c>
      <c r="R233" s="256">
        <f t="shared" si="50"/>
        <v>463.6</v>
      </c>
      <c r="S233" s="296"/>
      <c r="T233" s="3">
        <v>15</v>
      </c>
      <c r="U233" s="293"/>
    </row>
    <row r="234" spans="1:21" ht="15.65" customHeight="1" x14ac:dyDescent="0.35">
      <c r="A234" s="218" t="s">
        <v>2528</v>
      </c>
      <c r="B234" s="3">
        <v>216</v>
      </c>
      <c r="C234" s="44">
        <v>10010356</v>
      </c>
      <c r="D234" s="18" t="s">
        <v>1889</v>
      </c>
      <c r="E234" s="18" t="s">
        <v>2228</v>
      </c>
      <c r="F234" s="12">
        <f>2-1</f>
        <v>1</v>
      </c>
      <c r="G234" s="3" t="s">
        <v>0</v>
      </c>
      <c r="H234" s="39">
        <v>42004</v>
      </c>
      <c r="I234" s="27" t="s">
        <v>984</v>
      </c>
      <c r="J234" s="4" t="s">
        <v>1962</v>
      </c>
      <c r="K234" s="4" t="s">
        <v>988</v>
      </c>
      <c r="L234" s="29" t="s">
        <v>977</v>
      </c>
      <c r="M234" s="79">
        <f t="shared" si="47"/>
        <v>84.5</v>
      </c>
      <c r="N234" s="79">
        <f t="shared" si="48"/>
        <v>84.5</v>
      </c>
      <c r="O234" s="78">
        <f>169/2*1</f>
        <v>84.5</v>
      </c>
      <c r="P234" s="72">
        <v>100</v>
      </c>
      <c r="Q234" s="256">
        <f t="shared" si="49"/>
        <v>22</v>
      </c>
      <c r="R234" s="256">
        <f t="shared" si="50"/>
        <v>122</v>
      </c>
      <c r="S234" s="296"/>
      <c r="T234" s="3">
        <v>15</v>
      </c>
      <c r="U234" s="293"/>
    </row>
    <row r="235" spans="1:21" ht="15" customHeight="1" x14ac:dyDescent="0.35">
      <c r="A235" s="218" t="s">
        <v>2529</v>
      </c>
      <c r="B235" s="3">
        <v>217</v>
      </c>
      <c r="C235" s="44">
        <v>10036220</v>
      </c>
      <c r="D235" s="18" t="s">
        <v>1890</v>
      </c>
      <c r="E235" s="18" t="s">
        <v>2228</v>
      </c>
      <c r="F235" s="12">
        <f>8-4</f>
        <v>4</v>
      </c>
      <c r="G235" s="3" t="s">
        <v>0</v>
      </c>
      <c r="H235" s="39">
        <v>42004</v>
      </c>
      <c r="I235" s="27" t="s">
        <v>984</v>
      </c>
      <c r="J235" s="4" t="s">
        <v>1962</v>
      </c>
      <c r="K235" s="4" t="s">
        <v>988</v>
      </c>
      <c r="L235" s="29" t="s">
        <v>977</v>
      </c>
      <c r="M235" s="79">
        <f t="shared" si="47"/>
        <v>744.57</v>
      </c>
      <c r="N235" s="79">
        <f t="shared" si="48"/>
        <v>186.14</v>
      </c>
      <c r="O235" s="78">
        <f>1489.14/8*4</f>
        <v>744.57</v>
      </c>
      <c r="P235" s="72">
        <v>900</v>
      </c>
      <c r="Q235" s="256">
        <f t="shared" si="49"/>
        <v>198</v>
      </c>
      <c r="R235" s="256">
        <f t="shared" si="50"/>
        <v>1098</v>
      </c>
      <c r="S235" s="296"/>
      <c r="T235" s="3">
        <v>15</v>
      </c>
      <c r="U235" s="293"/>
    </row>
    <row r="236" spans="1:21" ht="15" customHeight="1" x14ac:dyDescent="0.35">
      <c r="A236" s="218" t="s">
        <v>2530</v>
      </c>
      <c r="B236" s="3">
        <v>218</v>
      </c>
      <c r="C236" s="44">
        <v>10119449</v>
      </c>
      <c r="D236" s="18" t="s">
        <v>1891</v>
      </c>
      <c r="E236" s="18" t="s">
        <v>2228</v>
      </c>
      <c r="F236" s="12">
        <v>2</v>
      </c>
      <c r="G236" s="3" t="s">
        <v>0</v>
      </c>
      <c r="H236" s="39">
        <v>41375</v>
      </c>
      <c r="I236" s="27" t="s">
        <v>984</v>
      </c>
      <c r="J236" s="4" t="s">
        <v>1962</v>
      </c>
      <c r="K236" s="4" t="s">
        <v>988</v>
      </c>
      <c r="L236" s="29" t="s">
        <v>977</v>
      </c>
      <c r="M236" s="79">
        <f t="shared" si="47"/>
        <v>188</v>
      </c>
      <c r="N236" s="79">
        <f t="shared" si="48"/>
        <v>94</v>
      </c>
      <c r="O236" s="78">
        <v>188</v>
      </c>
      <c r="P236" s="72">
        <v>220</v>
      </c>
      <c r="Q236" s="256">
        <f t="shared" si="49"/>
        <v>48.4</v>
      </c>
      <c r="R236" s="256">
        <f t="shared" si="50"/>
        <v>268.39999999999998</v>
      </c>
      <c r="S236" s="296"/>
      <c r="T236" s="3">
        <v>15</v>
      </c>
      <c r="U236" s="293"/>
    </row>
    <row r="237" spans="1:21" ht="15" customHeight="1" x14ac:dyDescent="0.35">
      <c r="A237" s="218" t="s">
        <v>2531</v>
      </c>
      <c r="B237" s="3">
        <v>219</v>
      </c>
      <c r="C237" s="44">
        <v>10001271</v>
      </c>
      <c r="D237" s="18" t="s">
        <v>1892</v>
      </c>
      <c r="E237" s="18" t="s">
        <v>2228</v>
      </c>
      <c r="F237" s="12">
        <f>14-10</f>
        <v>4</v>
      </c>
      <c r="G237" s="3" t="s">
        <v>0</v>
      </c>
      <c r="H237" s="39">
        <v>42004</v>
      </c>
      <c r="I237" s="27" t="s">
        <v>984</v>
      </c>
      <c r="J237" s="4" t="s">
        <v>1962</v>
      </c>
      <c r="K237" s="4" t="s">
        <v>988</v>
      </c>
      <c r="L237" s="29" t="s">
        <v>977</v>
      </c>
      <c r="M237" s="79">
        <f t="shared" si="47"/>
        <v>2177.77</v>
      </c>
      <c r="N237" s="79">
        <f t="shared" si="48"/>
        <v>544.44000000000005</v>
      </c>
      <c r="O237" s="78">
        <f>7622.2/14*4</f>
        <v>2177.77</v>
      </c>
      <c r="P237" s="72">
        <v>2640</v>
      </c>
      <c r="Q237" s="256">
        <f t="shared" si="49"/>
        <v>580.79999999999995</v>
      </c>
      <c r="R237" s="256">
        <f t="shared" si="50"/>
        <v>3220.8</v>
      </c>
      <c r="S237" s="296"/>
      <c r="T237" s="3">
        <v>15</v>
      </c>
      <c r="U237" s="293"/>
    </row>
    <row r="238" spans="1:21" ht="15" customHeight="1" x14ac:dyDescent="0.35">
      <c r="A238" s="218" t="s">
        <v>2532</v>
      </c>
      <c r="B238" s="3">
        <v>220</v>
      </c>
      <c r="C238" s="44">
        <v>10143854</v>
      </c>
      <c r="D238" s="18" t="s">
        <v>1893</v>
      </c>
      <c r="E238" s="18" t="s">
        <v>2228</v>
      </c>
      <c r="F238" s="12">
        <v>14</v>
      </c>
      <c r="G238" s="3" t="s">
        <v>0</v>
      </c>
      <c r="H238" s="39">
        <v>42004</v>
      </c>
      <c r="I238" s="27" t="s">
        <v>984</v>
      </c>
      <c r="J238" s="4" t="s">
        <v>1962</v>
      </c>
      <c r="K238" s="4" t="s">
        <v>988</v>
      </c>
      <c r="L238" s="29" t="s">
        <v>977</v>
      </c>
      <c r="M238" s="79">
        <f t="shared" si="47"/>
        <v>36981</v>
      </c>
      <c r="N238" s="79">
        <f t="shared" si="48"/>
        <v>2641.5</v>
      </c>
      <c r="O238" s="78">
        <v>36981</v>
      </c>
      <c r="P238" s="72">
        <v>44790</v>
      </c>
      <c r="Q238" s="256">
        <f t="shared" si="49"/>
        <v>9853.7999999999993</v>
      </c>
      <c r="R238" s="256">
        <f t="shared" si="50"/>
        <v>54643.8</v>
      </c>
      <c r="S238" s="296"/>
      <c r="T238" s="3">
        <v>15</v>
      </c>
      <c r="U238" s="293"/>
    </row>
    <row r="239" spans="1:21" ht="15" customHeight="1" x14ac:dyDescent="0.35">
      <c r="A239" s="218" t="s">
        <v>2533</v>
      </c>
      <c r="B239" s="3">
        <v>221</v>
      </c>
      <c r="C239" s="44">
        <v>10141686</v>
      </c>
      <c r="D239" s="18" t="s">
        <v>68</v>
      </c>
      <c r="E239" s="18" t="s">
        <v>2228</v>
      </c>
      <c r="F239" s="12">
        <v>12</v>
      </c>
      <c r="G239" s="3" t="s">
        <v>0</v>
      </c>
      <c r="H239" s="39">
        <v>42004</v>
      </c>
      <c r="I239" s="27" t="s">
        <v>984</v>
      </c>
      <c r="J239" s="4" t="s">
        <v>1962</v>
      </c>
      <c r="K239" s="4" t="s">
        <v>988</v>
      </c>
      <c r="L239" s="29" t="s">
        <v>977</v>
      </c>
      <c r="M239" s="79">
        <f t="shared" si="47"/>
        <v>38058</v>
      </c>
      <c r="N239" s="79">
        <f t="shared" si="48"/>
        <v>3171.5</v>
      </c>
      <c r="O239" s="78">
        <v>38058</v>
      </c>
      <c r="P239" s="72">
        <v>46090</v>
      </c>
      <c r="Q239" s="256">
        <f t="shared" si="49"/>
        <v>10139.799999999999</v>
      </c>
      <c r="R239" s="256">
        <f t="shared" si="50"/>
        <v>56229.8</v>
      </c>
      <c r="S239" s="296"/>
      <c r="T239" s="3">
        <v>15</v>
      </c>
      <c r="U239" s="293"/>
    </row>
    <row r="240" spans="1:21" ht="15" customHeight="1" x14ac:dyDescent="0.35">
      <c r="A240" s="218" t="s">
        <v>2534</v>
      </c>
      <c r="B240" s="3">
        <v>222</v>
      </c>
      <c r="C240" s="44">
        <v>10089937</v>
      </c>
      <c r="D240" s="18" t="s">
        <v>1894</v>
      </c>
      <c r="E240" s="18" t="s">
        <v>2228</v>
      </c>
      <c r="F240" s="12">
        <v>6</v>
      </c>
      <c r="G240" s="3" t="s">
        <v>0</v>
      </c>
      <c r="H240" s="39">
        <v>42004</v>
      </c>
      <c r="I240" s="27" t="s">
        <v>984</v>
      </c>
      <c r="J240" s="4" t="s">
        <v>1962</v>
      </c>
      <c r="K240" s="4" t="s">
        <v>988</v>
      </c>
      <c r="L240" s="29" t="s">
        <v>977</v>
      </c>
      <c r="M240" s="79">
        <f t="shared" si="47"/>
        <v>4275</v>
      </c>
      <c r="N240" s="79">
        <f t="shared" ref="N240:N270" si="51">O240/F240</f>
        <v>712.5</v>
      </c>
      <c r="O240" s="78">
        <v>4275</v>
      </c>
      <c r="P240" s="72">
        <v>5180</v>
      </c>
      <c r="Q240" s="256">
        <f t="shared" si="49"/>
        <v>1139.5999999999999</v>
      </c>
      <c r="R240" s="256">
        <f t="shared" si="50"/>
        <v>6319.6</v>
      </c>
      <c r="S240" s="296"/>
      <c r="T240" s="3">
        <v>15</v>
      </c>
      <c r="U240" s="293"/>
    </row>
    <row r="241" spans="1:21" ht="35.25" customHeight="1" x14ac:dyDescent="0.35">
      <c r="A241" s="218" t="s">
        <v>2535</v>
      </c>
      <c r="B241" s="3">
        <v>223</v>
      </c>
      <c r="C241" s="44">
        <v>10148764</v>
      </c>
      <c r="D241" s="18" t="s">
        <v>1895</v>
      </c>
      <c r="E241" s="18" t="s">
        <v>2228</v>
      </c>
      <c r="F241" s="12">
        <v>4</v>
      </c>
      <c r="G241" s="3" t="s">
        <v>0</v>
      </c>
      <c r="H241" s="39">
        <v>42004</v>
      </c>
      <c r="I241" s="27" t="s">
        <v>984</v>
      </c>
      <c r="J241" s="4" t="s">
        <v>1962</v>
      </c>
      <c r="K241" s="4" t="s">
        <v>988</v>
      </c>
      <c r="L241" s="29" t="s">
        <v>977</v>
      </c>
      <c r="M241" s="79">
        <f t="shared" si="47"/>
        <v>1182</v>
      </c>
      <c r="N241" s="79">
        <f t="shared" si="51"/>
        <v>295.5</v>
      </c>
      <c r="O241" s="78">
        <v>1182</v>
      </c>
      <c r="P241" s="72">
        <v>1430</v>
      </c>
      <c r="Q241" s="256">
        <f t="shared" si="49"/>
        <v>314.60000000000002</v>
      </c>
      <c r="R241" s="256">
        <f t="shared" si="50"/>
        <v>1744.6</v>
      </c>
      <c r="S241" s="296"/>
      <c r="T241" s="3">
        <v>15</v>
      </c>
      <c r="U241" s="293"/>
    </row>
    <row r="242" spans="1:21" ht="35.25" customHeight="1" x14ac:dyDescent="0.35">
      <c r="A242" s="218" t="s">
        <v>2536</v>
      </c>
      <c r="B242" s="3">
        <v>224</v>
      </c>
      <c r="C242" s="44">
        <v>10029561</v>
      </c>
      <c r="D242" s="18" t="s">
        <v>1826</v>
      </c>
      <c r="E242" s="18" t="s">
        <v>2228</v>
      </c>
      <c r="F242" s="12">
        <v>2</v>
      </c>
      <c r="G242" s="3" t="s">
        <v>0</v>
      </c>
      <c r="H242" s="39">
        <v>41092</v>
      </c>
      <c r="I242" s="27" t="s">
        <v>984</v>
      </c>
      <c r="J242" s="4" t="s">
        <v>1962</v>
      </c>
      <c r="K242" s="4" t="s">
        <v>988</v>
      </c>
      <c r="L242" s="29" t="s">
        <v>977</v>
      </c>
      <c r="M242" s="79">
        <f t="shared" si="47"/>
        <v>138</v>
      </c>
      <c r="N242" s="79">
        <f t="shared" si="51"/>
        <v>69</v>
      </c>
      <c r="O242" s="78">
        <v>138</v>
      </c>
      <c r="P242" s="72">
        <v>170</v>
      </c>
      <c r="Q242" s="256">
        <f t="shared" si="49"/>
        <v>37.4</v>
      </c>
      <c r="R242" s="256">
        <f t="shared" si="50"/>
        <v>207.4</v>
      </c>
      <c r="S242" s="296"/>
      <c r="T242" s="3">
        <v>15</v>
      </c>
      <c r="U242" s="293"/>
    </row>
    <row r="243" spans="1:21" ht="56.25" customHeight="1" x14ac:dyDescent="0.35">
      <c r="A243" s="218" t="s">
        <v>2537</v>
      </c>
      <c r="B243" s="3">
        <v>225</v>
      </c>
      <c r="C243" s="44">
        <v>10151648</v>
      </c>
      <c r="D243" s="18" t="s">
        <v>1945</v>
      </c>
      <c r="E243" s="18" t="s">
        <v>2228</v>
      </c>
      <c r="F243" s="12">
        <v>1.782</v>
      </c>
      <c r="G243" s="3" t="s">
        <v>3</v>
      </c>
      <c r="H243" s="39">
        <v>42074</v>
      </c>
      <c r="I243" s="27" t="s">
        <v>984</v>
      </c>
      <c r="J243" s="4" t="s">
        <v>1973</v>
      </c>
      <c r="K243" s="4" t="s">
        <v>988</v>
      </c>
      <c r="L243" s="29" t="s">
        <v>977</v>
      </c>
      <c r="M243" s="79">
        <f t="shared" si="47"/>
        <v>58028.7</v>
      </c>
      <c r="N243" s="79">
        <f t="shared" si="51"/>
        <v>32563.8</v>
      </c>
      <c r="O243" s="78">
        <v>58028.7</v>
      </c>
      <c r="P243" s="72">
        <v>65440</v>
      </c>
      <c r="Q243" s="256">
        <f t="shared" si="49"/>
        <v>14396.8</v>
      </c>
      <c r="R243" s="256">
        <f t="shared" si="50"/>
        <v>79836.800000000003</v>
      </c>
      <c r="S243" s="296"/>
      <c r="T243" s="3">
        <v>15</v>
      </c>
      <c r="U243" s="293"/>
    </row>
    <row r="244" spans="1:21" ht="50.25" customHeight="1" x14ac:dyDescent="0.35">
      <c r="A244" s="218" t="s">
        <v>2538</v>
      </c>
      <c r="B244" s="3">
        <v>226</v>
      </c>
      <c r="C244" s="44">
        <v>10089164</v>
      </c>
      <c r="D244" s="18" t="s">
        <v>1946</v>
      </c>
      <c r="E244" s="18" t="s">
        <v>2228</v>
      </c>
      <c r="F244" s="12">
        <f>3.792-0.02</f>
        <v>3.7719999999999998</v>
      </c>
      <c r="G244" s="3" t="s">
        <v>3</v>
      </c>
      <c r="H244" s="39">
        <v>41516</v>
      </c>
      <c r="I244" s="27" t="s">
        <v>984</v>
      </c>
      <c r="J244" s="4" t="s">
        <v>1962</v>
      </c>
      <c r="K244" s="4" t="s">
        <v>988</v>
      </c>
      <c r="L244" s="29" t="s">
        <v>977</v>
      </c>
      <c r="M244" s="79">
        <f t="shared" si="47"/>
        <v>304622.07</v>
      </c>
      <c r="N244" s="79">
        <f t="shared" si="51"/>
        <v>80758.77</v>
      </c>
      <c r="O244" s="78">
        <f>306237.25/3.792*3.772</f>
        <v>304622.07</v>
      </c>
      <c r="P244" s="72">
        <v>357330</v>
      </c>
      <c r="Q244" s="256">
        <f t="shared" ref="Q244:Q274" si="52">R244-P244</f>
        <v>78612.600000000006</v>
      </c>
      <c r="R244" s="256">
        <f t="shared" ref="R244:R274" si="53">P244*1.22</f>
        <v>435942.6</v>
      </c>
      <c r="S244" s="296"/>
      <c r="T244" s="3">
        <v>15</v>
      </c>
      <c r="U244" s="293"/>
    </row>
    <row r="245" spans="1:21" ht="53.25" customHeight="1" x14ac:dyDescent="0.35">
      <c r="A245" s="218" t="s">
        <v>2539</v>
      </c>
      <c r="B245" s="3">
        <v>227</v>
      </c>
      <c r="C245" s="44">
        <v>10011622</v>
      </c>
      <c r="D245" s="18" t="s">
        <v>1947</v>
      </c>
      <c r="E245" s="18" t="s">
        <v>2228</v>
      </c>
      <c r="F245" s="12">
        <v>1.6830000000000001</v>
      </c>
      <c r="G245" s="3" t="s">
        <v>3</v>
      </c>
      <c r="H245" s="39">
        <v>42130</v>
      </c>
      <c r="I245" s="27" t="s">
        <v>984</v>
      </c>
      <c r="J245" s="4" t="s">
        <v>1962</v>
      </c>
      <c r="K245" s="4" t="s">
        <v>988</v>
      </c>
      <c r="L245" s="29" t="s">
        <v>977</v>
      </c>
      <c r="M245" s="79">
        <f t="shared" si="47"/>
        <v>44405.66</v>
      </c>
      <c r="N245" s="79">
        <f t="shared" si="51"/>
        <v>26384.82</v>
      </c>
      <c r="O245" s="78">
        <v>44405.66</v>
      </c>
      <c r="P245" s="72">
        <v>49560</v>
      </c>
      <c r="Q245" s="256">
        <f t="shared" si="52"/>
        <v>10903.2</v>
      </c>
      <c r="R245" s="256">
        <f t="shared" si="53"/>
        <v>60463.199999999997</v>
      </c>
      <c r="S245" s="296"/>
      <c r="T245" s="3">
        <v>15</v>
      </c>
      <c r="U245" s="293"/>
    </row>
    <row r="246" spans="1:21" ht="39.75" customHeight="1" x14ac:dyDescent="0.35">
      <c r="A246" s="218" t="s">
        <v>2540</v>
      </c>
      <c r="B246" s="3">
        <v>228</v>
      </c>
      <c r="C246" s="44">
        <v>10024007</v>
      </c>
      <c r="D246" s="18" t="s">
        <v>1948</v>
      </c>
      <c r="E246" s="18" t="s">
        <v>2228</v>
      </c>
      <c r="F246" s="12">
        <v>2.0139999999999998</v>
      </c>
      <c r="G246" s="3" t="s">
        <v>3</v>
      </c>
      <c r="H246" s="39">
        <v>39576</v>
      </c>
      <c r="I246" s="27" t="s">
        <v>984</v>
      </c>
      <c r="J246" s="4" t="s">
        <v>1962</v>
      </c>
      <c r="K246" s="4" t="s">
        <v>988</v>
      </c>
      <c r="L246" s="29" t="s">
        <v>977</v>
      </c>
      <c r="M246" s="79">
        <f t="shared" si="47"/>
        <v>58900.11</v>
      </c>
      <c r="N246" s="79">
        <f t="shared" si="51"/>
        <v>29245.34</v>
      </c>
      <c r="O246" s="78">
        <v>58900.11</v>
      </c>
      <c r="P246" s="72">
        <v>88440</v>
      </c>
      <c r="Q246" s="256">
        <f t="shared" si="52"/>
        <v>19456.8</v>
      </c>
      <c r="R246" s="256">
        <f t="shared" si="53"/>
        <v>107896.8</v>
      </c>
      <c r="S246" s="296"/>
      <c r="T246" s="3">
        <v>15</v>
      </c>
      <c r="U246" s="293"/>
    </row>
    <row r="247" spans="1:21" ht="34.5" customHeight="1" x14ac:dyDescent="0.35">
      <c r="A247" s="218" t="s">
        <v>2541</v>
      </c>
      <c r="B247" s="3">
        <v>229</v>
      </c>
      <c r="C247" s="44">
        <v>10005295</v>
      </c>
      <c r="D247" s="18" t="s">
        <v>9</v>
      </c>
      <c r="E247" s="18" t="s">
        <v>2219</v>
      </c>
      <c r="F247" s="12">
        <v>0.20699999999999999</v>
      </c>
      <c r="G247" s="3" t="s">
        <v>3</v>
      </c>
      <c r="H247" s="5">
        <v>42401</v>
      </c>
      <c r="I247" s="19" t="s">
        <v>984</v>
      </c>
      <c r="J247" s="6" t="s">
        <v>2029</v>
      </c>
      <c r="K247" s="4" t="s">
        <v>988</v>
      </c>
      <c r="L247" s="4" t="s">
        <v>977</v>
      </c>
      <c r="M247" s="80">
        <f t="shared" si="47"/>
        <v>10732.4</v>
      </c>
      <c r="N247" s="80">
        <f t="shared" si="51"/>
        <v>51847.34</v>
      </c>
      <c r="O247" s="81">
        <v>10732.4</v>
      </c>
      <c r="P247" s="72">
        <v>11550</v>
      </c>
      <c r="Q247" s="256">
        <f t="shared" si="52"/>
        <v>2541</v>
      </c>
      <c r="R247" s="256">
        <f t="shared" si="53"/>
        <v>14091</v>
      </c>
      <c r="S247" s="296"/>
      <c r="T247" s="3">
        <v>15</v>
      </c>
      <c r="U247" s="293"/>
    </row>
    <row r="248" spans="1:21" ht="27" customHeight="1" x14ac:dyDescent="0.35">
      <c r="A248" s="218" t="s">
        <v>2542</v>
      </c>
      <c r="B248" s="3">
        <v>230</v>
      </c>
      <c r="C248" s="66">
        <v>10104439</v>
      </c>
      <c r="D248" s="24" t="s">
        <v>1336</v>
      </c>
      <c r="E248" s="24" t="s">
        <v>2226</v>
      </c>
      <c r="F248" s="93">
        <f>5-1-1</f>
        <v>3</v>
      </c>
      <c r="G248" s="3" t="s">
        <v>0</v>
      </c>
      <c r="H248" s="25" t="s">
        <v>517</v>
      </c>
      <c r="I248" s="26" t="s">
        <v>1360</v>
      </c>
      <c r="J248" s="4" t="s">
        <v>1962</v>
      </c>
      <c r="K248" s="4" t="s">
        <v>988</v>
      </c>
      <c r="L248" s="29" t="s">
        <v>977</v>
      </c>
      <c r="M248" s="79">
        <f t="shared" si="47"/>
        <v>259138.59</v>
      </c>
      <c r="N248" s="79">
        <f t="shared" si="51"/>
        <v>86379.53</v>
      </c>
      <c r="O248" s="78">
        <f>431897.65/5*3</f>
        <v>259138.59</v>
      </c>
      <c r="P248" s="72">
        <v>313850</v>
      </c>
      <c r="Q248" s="256">
        <f t="shared" si="52"/>
        <v>69047</v>
      </c>
      <c r="R248" s="256">
        <f t="shared" si="53"/>
        <v>382897</v>
      </c>
      <c r="S248" s="296"/>
      <c r="T248" s="3">
        <v>15</v>
      </c>
      <c r="U248" s="293"/>
    </row>
    <row r="249" spans="1:21" ht="29.5" customHeight="1" x14ac:dyDescent="0.35">
      <c r="A249" s="218" t="s">
        <v>2543</v>
      </c>
      <c r="B249" s="3">
        <v>231</v>
      </c>
      <c r="C249" s="66">
        <v>10144750</v>
      </c>
      <c r="D249" s="24" t="s">
        <v>1337</v>
      </c>
      <c r="E249" s="24" t="s">
        <v>2226</v>
      </c>
      <c r="F249" s="93">
        <v>3</v>
      </c>
      <c r="G249" s="3" t="s">
        <v>0</v>
      </c>
      <c r="H249" s="25" t="s">
        <v>517</v>
      </c>
      <c r="I249" s="26" t="s">
        <v>1360</v>
      </c>
      <c r="J249" s="4" t="s">
        <v>1962</v>
      </c>
      <c r="K249" s="4" t="s">
        <v>988</v>
      </c>
      <c r="L249" s="29" t="s">
        <v>977</v>
      </c>
      <c r="M249" s="79">
        <f t="shared" si="47"/>
        <v>564069.15</v>
      </c>
      <c r="N249" s="79">
        <f t="shared" si="51"/>
        <v>188023.05</v>
      </c>
      <c r="O249" s="78">
        <v>564069.15</v>
      </c>
      <c r="P249" s="72">
        <v>683160</v>
      </c>
      <c r="Q249" s="256">
        <f t="shared" si="52"/>
        <v>150295.20000000001</v>
      </c>
      <c r="R249" s="256">
        <f t="shared" si="53"/>
        <v>833455.2</v>
      </c>
      <c r="S249" s="296"/>
      <c r="T249" s="3">
        <v>15</v>
      </c>
      <c r="U249" s="293"/>
    </row>
    <row r="250" spans="1:21" ht="28" customHeight="1" x14ac:dyDescent="0.35">
      <c r="A250" s="218" t="s">
        <v>2544</v>
      </c>
      <c r="B250" s="3">
        <v>232</v>
      </c>
      <c r="C250" s="67">
        <v>10087729</v>
      </c>
      <c r="D250" s="24" t="s">
        <v>1338</v>
      </c>
      <c r="E250" s="24" t="s">
        <v>2226</v>
      </c>
      <c r="F250" s="93">
        <v>1</v>
      </c>
      <c r="G250" s="3" t="s">
        <v>0</v>
      </c>
      <c r="H250" s="25" t="s">
        <v>517</v>
      </c>
      <c r="I250" s="26" t="s">
        <v>1360</v>
      </c>
      <c r="J250" s="4" t="s">
        <v>1962</v>
      </c>
      <c r="K250" s="4" t="s">
        <v>988</v>
      </c>
      <c r="L250" s="29" t="s">
        <v>977</v>
      </c>
      <c r="M250" s="79">
        <f t="shared" si="47"/>
        <v>26481</v>
      </c>
      <c r="N250" s="79">
        <f t="shared" si="51"/>
        <v>26481</v>
      </c>
      <c r="O250" s="78">
        <v>26481</v>
      </c>
      <c r="P250" s="72">
        <v>32070</v>
      </c>
      <c r="Q250" s="256">
        <f t="shared" si="52"/>
        <v>7055.4</v>
      </c>
      <c r="R250" s="256">
        <f t="shared" si="53"/>
        <v>39125.4</v>
      </c>
      <c r="S250" s="296"/>
      <c r="T250" s="3">
        <v>15</v>
      </c>
      <c r="U250" s="293"/>
    </row>
    <row r="251" spans="1:21" ht="32.5" customHeight="1" x14ac:dyDescent="0.35">
      <c r="A251" s="218" t="s">
        <v>2545</v>
      </c>
      <c r="B251" s="3">
        <v>233</v>
      </c>
      <c r="C251" s="66">
        <v>10155524</v>
      </c>
      <c r="D251" s="24" t="s">
        <v>1339</v>
      </c>
      <c r="E251" s="24" t="s">
        <v>2226</v>
      </c>
      <c r="F251" s="93">
        <v>8</v>
      </c>
      <c r="G251" s="3" t="s">
        <v>0</v>
      </c>
      <c r="H251" s="25" t="s">
        <v>517</v>
      </c>
      <c r="I251" s="26" t="s">
        <v>1360</v>
      </c>
      <c r="J251" s="4" t="s">
        <v>1962</v>
      </c>
      <c r="K251" s="4" t="s">
        <v>988</v>
      </c>
      <c r="L251" s="29" t="s">
        <v>977</v>
      </c>
      <c r="M251" s="79">
        <f t="shared" si="47"/>
        <v>320544</v>
      </c>
      <c r="N251" s="79">
        <f t="shared" si="51"/>
        <v>40068</v>
      </c>
      <c r="O251" s="78">
        <v>320544</v>
      </c>
      <c r="P251" s="72">
        <v>388220</v>
      </c>
      <c r="Q251" s="256">
        <f t="shared" si="52"/>
        <v>85408.4</v>
      </c>
      <c r="R251" s="256">
        <f t="shared" si="53"/>
        <v>473628.4</v>
      </c>
      <c r="S251" s="296"/>
      <c r="T251" s="3">
        <v>15</v>
      </c>
      <c r="U251" s="293"/>
    </row>
    <row r="252" spans="1:21" ht="15" customHeight="1" x14ac:dyDescent="0.35">
      <c r="A252" s="218" t="s">
        <v>2546</v>
      </c>
      <c r="B252" s="3">
        <v>234</v>
      </c>
      <c r="C252" s="66">
        <v>10150660</v>
      </c>
      <c r="D252" s="24" t="s">
        <v>1340</v>
      </c>
      <c r="E252" s="24" t="s">
        <v>2224</v>
      </c>
      <c r="F252" s="93">
        <v>3</v>
      </c>
      <c r="G252" s="3" t="s">
        <v>0</v>
      </c>
      <c r="H252" s="25" t="s">
        <v>517</v>
      </c>
      <c r="I252" s="26" t="s">
        <v>1360</v>
      </c>
      <c r="J252" s="4" t="s">
        <v>1962</v>
      </c>
      <c r="K252" s="4" t="s">
        <v>988</v>
      </c>
      <c r="L252" s="29" t="s">
        <v>977</v>
      </c>
      <c r="M252" s="79">
        <f t="shared" si="47"/>
        <v>13048.56</v>
      </c>
      <c r="N252" s="79">
        <f t="shared" si="51"/>
        <v>4349.5200000000004</v>
      </c>
      <c r="O252" s="78">
        <v>13048.56</v>
      </c>
      <c r="P252" s="72">
        <v>15800</v>
      </c>
      <c r="Q252" s="256">
        <f t="shared" si="52"/>
        <v>3476</v>
      </c>
      <c r="R252" s="256">
        <f t="shared" si="53"/>
        <v>19276</v>
      </c>
      <c r="S252" s="296"/>
      <c r="T252" s="3">
        <v>15</v>
      </c>
      <c r="U252" s="293"/>
    </row>
    <row r="253" spans="1:21" ht="30" customHeight="1" x14ac:dyDescent="0.35">
      <c r="A253" s="218" t="s">
        <v>2547</v>
      </c>
      <c r="B253" s="3">
        <v>235</v>
      </c>
      <c r="C253" s="66">
        <v>10145042</v>
      </c>
      <c r="D253" s="24" t="s">
        <v>1341</v>
      </c>
      <c r="E253" s="24" t="s">
        <v>2226</v>
      </c>
      <c r="F253" s="93">
        <v>3</v>
      </c>
      <c r="G253" s="3" t="s">
        <v>0</v>
      </c>
      <c r="H253" s="25" t="s">
        <v>517</v>
      </c>
      <c r="I253" s="26" t="s">
        <v>1360</v>
      </c>
      <c r="J253" s="4" t="s">
        <v>1962</v>
      </c>
      <c r="K253" s="4" t="s">
        <v>988</v>
      </c>
      <c r="L253" s="29" t="s">
        <v>977</v>
      </c>
      <c r="M253" s="78">
        <f t="shared" si="47"/>
        <v>781706.06</v>
      </c>
      <c r="N253" s="100">
        <f t="shared" si="51"/>
        <v>260568.69</v>
      </c>
      <c r="O253" s="78">
        <v>781706.06</v>
      </c>
      <c r="P253" s="72">
        <v>946750</v>
      </c>
      <c r="Q253" s="256">
        <f t="shared" si="52"/>
        <v>208285</v>
      </c>
      <c r="R253" s="256">
        <f t="shared" si="53"/>
        <v>1155035</v>
      </c>
      <c r="S253" s="296"/>
      <c r="T253" s="3">
        <v>15</v>
      </c>
      <c r="U253" s="293"/>
    </row>
    <row r="254" spans="1:21" ht="23.15" customHeight="1" x14ac:dyDescent="0.35">
      <c r="A254" s="218" t="s">
        <v>2548</v>
      </c>
      <c r="B254" s="3">
        <v>236</v>
      </c>
      <c r="C254" s="66">
        <v>10037659</v>
      </c>
      <c r="D254" s="24" t="s">
        <v>1342</v>
      </c>
      <c r="E254" s="24" t="s">
        <v>2226</v>
      </c>
      <c r="F254" s="93">
        <f>16-2-1</f>
        <v>13</v>
      </c>
      <c r="G254" s="3" t="s">
        <v>0</v>
      </c>
      <c r="H254" s="25" t="s">
        <v>517</v>
      </c>
      <c r="I254" s="26" t="s">
        <v>1360</v>
      </c>
      <c r="J254" s="4" t="s">
        <v>1962</v>
      </c>
      <c r="K254" s="4" t="s">
        <v>988</v>
      </c>
      <c r="L254" s="29" t="s">
        <v>977</v>
      </c>
      <c r="M254" s="78">
        <f t="shared" ref="M254:M297" si="54">O254</f>
        <v>379773.55</v>
      </c>
      <c r="N254" s="78">
        <f t="shared" si="51"/>
        <v>29213.35</v>
      </c>
      <c r="O254" s="78">
        <f>467413.6/16*13</f>
        <v>379773.55</v>
      </c>
      <c r="P254" s="72">
        <v>459960</v>
      </c>
      <c r="Q254" s="256">
        <f t="shared" si="52"/>
        <v>101191.2</v>
      </c>
      <c r="R254" s="256">
        <f t="shared" si="53"/>
        <v>561151.19999999995</v>
      </c>
      <c r="S254" s="296"/>
      <c r="T254" s="3">
        <v>15</v>
      </c>
      <c r="U254" s="293"/>
    </row>
    <row r="255" spans="1:21" ht="29.15" customHeight="1" x14ac:dyDescent="0.35">
      <c r="A255" s="218" t="s">
        <v>2549</v>
      </c>
      <c r="B255" s="3">
        <v>237</v>
      </c>
      <c r="C255" s="66">
        <v>10155502</v>
      </c>
      <c r="D255" s="24" t="s">
        <v>1343</v>
      </c>
      <c r="E255" s="24" t="s">
        <v>2226</v>
      </c>
      <c r="F255" s="93">
        <v>2</v>
      </c>
      <c r="G255" s="3" t="s">
        <v>0</v>
      </c>
      <c r="H255" s="25" t="s">
        <v>517</v>
      </c>
      <c r="I255" s="26" t="s">
        <v>1360</v>
      </c>
      <c r="J255" s="4" t="s">
        <v>1962</v>
      </c>
      <c r="K255" s="4" t="s">
        <v>988</v>
      </c>
      <c r="L255" s="29" t="s">
        <v>977</v>
      </c>
      <c r="M255" s="78">
        <f t="shared" si="54"/>
        <v>120907.79</v>
      </c>
      <c r="N255" s="78">
        <f t="shared" si="51"/>
        <v>60453.9</v>
      </c>
      <c r="O255" s="78">
        <v>120907.79</v>
      </c>
      <c r="P255" s="72">
        <v>146440</v>
      </c>
      <c r="Q255" s="256">
        <f t="shared" si="52"/>
        <v>32216.799999999999</v>
      </c>
      <c r="R255" s="256">
        <f t="shared" si="53"/>
        <v>178656.8</v>
      </c>
      <c r="S255" s="296"/>
      <c r="T255" s="3">
        <v>15</v>
      </c>
      <c r="U255" s="293"/>
    </row>
    <row r="256" spans="1:21" ht="30" customHeight="1" x14ac:dyDescent="0.35">
      <c r="A256" s="218" t="s">
        <v>2550</v>
      </c>
      <c r="B256" s="3">
        <v>238</v>
      </c>
      <c r="C256" s="66">
        <v>10143624</v>
      </c>
      <c r="D256" s="24" t="s">
        <v>1344</v>
      </c>
      <c r="E256" s="24" t="s">
        <v>2224</v>
      </c>
      <c r="F256" s="93">
        <v>24</v>
      </c>
      <c r="G256" s="3" t="s">
        <v>0</v>
      </c>
      <c r="H256" s="25" t="s">
        <v>517</v>
      </c>
      <c r="I256" s="26" t="s">
        <v>1360</v>
      </c>
      <c r="J256" s="4" t="s">
        <v>1962</v>
      </c>
      <c r="K256" s="4" t="s">
        <v>988</v>
      </c>
      <c r="L256" s="29" t="s">
        <v>977</v>
      </c>
      <c r="M256" s="78">
        <f t="shared" si="54"/>
        <v>79687.820000000007</v>
      </c>
      <c r="N256" s="78">
        <f t="shared" si="51"/>
        <v>3320.33</v>
      </c>
      <c r="O256" s="78">
        <v>79687.820000000007</v>
      </c>
      <c r="P256" s="72">
        <v>96510</v>
      </c>
      <c r="Q256" s="256">
        <f t="shared" si="52"/>
        <v>21232.2</v>
      </c>
      <c r="R256" s="256">
        <f t="shared" si="53"/>
        <v>117742.2</v>
      </c>
      <c r="S256" s="296"/>
      <c r="T256" s="3">
        <v>15</v>
      </c>
      <c r="U256" s="293"/>
    </row>
    <row r="257" spans="1:21" ht="30" customHeight="1" x14ac:dyDescent="0.35">
      <c r="A257" s="218" t="s">
        <v>2551</v>
      </c>
      <c r="B257" s="3">
        <v>239</v>
      </c>
      <c r="C257" s="66">
        <v>10143515</v>
      </c>
      <c r="D257" s="24" t="s">
        <v>1345</v>
      </c>
      <c r="E257" s="24" t="s">
        <v>2226</v>
      </c>
      <c r="F257" s="93">
        <v>4</v>
      </c>
      <c r="G257" s="3" t="s">
        <v>0</v>
      </c>
      <c r="H257" s="25" t="s">
        <v>517</v>
      </c>
      <c r="I257" s="26" t="s">
        <v>1360</v>
      </c>
      <c r="J257" s="4" t="s">
        <v>1962</v>
      </c>
      <c r="K257" s="4" t="s">
        <v>988</v>
      </c>
      <c r="L257" s="29" t="s">
        <v>977</v>
      </c>
      <c r="M257" s="78">
        <f t="shared" si="54"/>
        <v>279535.53000000003</v>
      </c>
      <c r="N257" s="78">
        <f t="shared" si="51"/>
        <v>69883.88</v>
      </c>
      <c r="O257" s="78">
        <v>279535.53000000003</v>
      </c>
      <c r="P257" s="72">
        <v>338560</v>
      </c>
      <c r="Q257" s="256">
        <f t="shared" si="52"/>
        <v>74483.199999999997</v>
      </c>
      <c r="R257" s="256">
        <f t="shared" si="53"/>
        <v>413043.20000000001</v>
      </c>
      <c r="S257" s="296"/>
      <c r="T257" s="3">
        <v>15</v>
      </c>
      <c r="U257" s="293"/>
    </row>
    <row r="258" spans="1:21" ht="45" customHeight="1" x14ac:dyDescent="0.35">
      <c r="A258" s="218" t="s">
        <v>2552</v>
      </c>
      <c r="B258" s="3">
        <v>240</v>
      </c>
      <c r="C258" s="44">
        <v>10151109</v>
      </c>
      <c r="D258" s="18" t="s">
        <v>1798</v>
      </c>
      <c r="E258" s="18" t="s">
        <v>2228</v>
      </c>
      <c r="F258" s="12">
        <v>4</v>
      </c>
      <c r="G258" s="3" t="s">
        <v>0</v>
      </c>
      <c r="H258" s="39">
        <v>41501</v>
      </c>
      <c r="I258" s="27" t="s">
        <v>984</v>
      </c>
      <c r="J258" s="4" t="s">
        <v>1406</v>
      </c>
      <c r="K258" s="4" t="s">
        <v>988</v>
      </c>
      <c r="L258" s="29" t="s">
        <v>977</v>
      </c>
      <c r="M258" s="78">
        <f t="shared" si="54"/>
        <v>107437.96</v>
      </c>
      <c r="N258" s="78">
        <f t="shared" si="51"/>
        <v>26859.49</v>
      </c>
      <c r="O258" s="78">
        <v>107437.96</v>
      </c>
      <c r="P258" s="72">
        <v>126030</v>
      </c>
      <c r="Q258" s="256">
        <f t="shared" si="52"/>
        <v>27726.6</v>
      </c>
      <c r="R258" s="256">
        <f t="shared" si="53"/>
        <v>153756.6</v>
      </c>
      <c r="S258" s="296"/>
      <c r="T258" s="3">
        <v>15</v>
      </c>
      <c r="U258" s="293"/>
    </row>
    <row r="259" spans="1:21" ht="15" customHeight="1" x14ac:dyDescent="0.35">
      <c r="A259" s="218" t="s">
        <v>2553</v>
      </c>
      <c r="B259" s="3">
        <v>241</v>
      </c>
      <c r="C259" s="44">
        <v>10151192</v>
      </c>
      <c r="D259" s="18" t="s">
        <v>1800</v>
      </c>
      <c r="E259" s="18" t="s">
        <v>2228</v>
      </c>
      <c r="F259" s="12">
        <f>7-1</f>
        <v>6</v>
      </c>
      <c r="G259" s="3" t="s">
        <v>0</v>
      </c>
      <c r="H259" s="39">
        <v>41501</v>
      </c>
      <c r="I259" s="27" t="s">
        <v>984</v>
      </c>
      <c r="J259" s="4" t="s">
        <v>1981</v>
      </c>
      <c r="K259" s="4" t="s">
        <v>988</v>
      </c>
      <c r="L259" s="29" t="s">
        <v>977</v>
      </c>
      <c r="M259" s="78">
        <f t="shared" si="54"/>
        <v>238372.86</v>
      </c>
      <c r="N259" s="246">
        <f t="shared" si="51"/>
        <v>39728.81</v>
      </c>
      <c r="O259" s="78">
        <f>278101.67/7*6</f>
        <v>238372.86</v>
      </c>
      <c r="P259" s="72">
        <v>279620</v>
      </c>
      <c r="Q259" s="256">
        <f t="shared" si="52"/>
        <v>61516.4</v>
      </c>
      <c r="R259" s="256">
        <f t="shared" si="53"/>
        <v>341136.4</v>
      </c>
      <c r="S259" s="296"/>
      <c r="T259" s="3">
        <v>15</v>
      </c>
      <c r="U259" s="293"/>
    </row>
    <row r="260" spans="1:21" ht="15" customHeight="1" x14ac:dyDescent="0.35">
      <c r="A260" s="218" t="s">
        <v>2554</v>
      </c>
      <c r="B260" s="3">
        <v>242</v>
      </c>
      <c r="C260" s="44">
        <v>10104572</v>
      </c>
      <c r="D260" s="18" t="s">
        <v>1803</v>
      </c>
      <c r="E260" s="18" t="s">
        <v>2228</v>
      </c>
      <c r="F260" s="12">
        <v>2</v>
      </c>
      <c r="G260" s="3" t="s">
        <v>0</v>
      </c>
      <c r="H260" s="39">
        <v>40527</v>
      </c>
      <c r="I260" s="27" t="s">
        <v>984</v>
      </c>
      <c r="J260" s="4" t="s">
        <v>1962</v>
      </c>
      <c r="K260" s="4" t="s">
        <v>988</v>
      </c>
      <c r="L260" s="29" t="s">
        <v>977</v>
      </c>
      <c r="M260" s="78">
        <f t="shared" si="54"/>
        <v>98964.34</v>
      </c>
      <c r="N260" s="78">
        <f t="shared" si="51"/>
        <v>49482.17</v>
      </c>
      <c r="O260" s="78">
        <v>98964.34</v>
      </c>
      <c r="P260" s="72">
        <v>129840</v>
      </c>
      <c r="Q260" s="256">
        <f t="shared" si="52"/>
        <v>28564.799999999999</v>
      </c>
      <c r="R260" s="256">
        <f t="shared" si="53"/>
        <v>158404.79999999999</v>
      </c>
      <c r="S260" s="296"/>
      <c r="T260" s="3">
        <v>15</v>
      </c>
      <c r="U260" s="293"/>
    </row>
    <row r="261" spans="1:21" ht="15" customHeight="1" x14ac:dyDescent="0.35">
      <c r="A261" s="218" t="s">
        <v>2555</v>
      </c>
      <c r="B261" s="3">
        <v>243</v>
      </c>
      <c r="C261" s="44">
        <v>10145042</v>
      </c>
      <c r="D261" s="18" t="s">
        <v>1805</v>
      </c>
      <c r="E261" s="18" t="s">
        <v>2228</v>
      </c>
      <c r="F261" s="12">
        <v>2</v>
      </c>
      <c r="G261" s="3" t="s">
        <v>0</v>
      </c>
      <c r="H261" s="39">
        <v>42586</v>
      </c>
      <c r="I261" s="27" t="s">
        <v>984</v>
      </c>
      <c r="J261" s="4" t="s">
        <v>1979</v>
      </c>
      <c r="K261" s="4" t="s">
        <v>988</v>
      </c>
      <c r="L261" s="29" t="s">
        <v>977</v>
      </c>
      <c r="M261" s="78">
        <f t="shared" si="54"/>
        <v>540460.41</v>
      </c>
      <c r="N261" s="78">
        <f t="shared" si="51"/>
        <v>270230.21000000002</v>
      </c>
      <c r="O261" s="78">
        <v>540460.41</v>
      </c>
      <c r="P261" s="72">
        <v>654570</v>
      </c>
      <c r="Q261" s="256">
        <f t="shared" si="52"/>
        <v>144005.4</v>
      </c>
      <c r="R261" s="256">
        <f t="shared" si="53"/>
        <v>798575.4</v>
      </c>
      <c r="S261" s="296"/>
      <c r="T261" s="3">
        <v>15</v>
      </c>
      <c r="U261" s="293"/>
    </row>
    <row r="262" spans="1:21" ht="30" customHeight="1" x14ac:dyDescent="0.35">
      <c r="A262" s="218" t="s">
        <v>2556</v>
      </c>
      <c r="B262" s="3">
        <v>244</v>
      </c>
      <c r="C262" s="44">
        <v>10151193</v>
      </c>
      <c r="D262" s="18" t="s">
        <v>1808</v>
      </c>
      <c r="E262" s="18" t="s">
        <v>2228</v>
      </c>
      <c r="F262" s="12">
        <v>70</v>
      </c>
      <c r="G262" s="3" t="s">
        <v>0</v>
      </c>
      <c r="H262" s="39">
        <v>42179</v>
      </c>
      <c r="I262" s="27" t="s">
        <v>984</v>
      </c>
      <c r="J262" s="4" t="s">
        <v>1980</v>
      </c>
      <c r="K262" s="4" t="s">
        <v>988</v>
      </c>
      <c r="L262" s="29" t="s">
        <v>977</v>
      </c>
      <c r="M262" s="78">
        <f t="shared" si="54"/>
        <v>3561848.5</v>
      </c>
      <c r="N262" s="78">
        <f t="shared" si="51"/>
        <v>50883.55</v>
      </c>
      <c r="O262" s="78">
        <v>3561848.5</v>
      </c>
      <c r="P262" s="72">
        <v>3934210</v>
      </c>
      <c r="Q262" s="256">
        <f t="shared" si="52"/>
        <v>865526.2</v>
      </c>
      <c r="R262" s="256">
        <f t="shared" si="53"/>
        <v>4799736.2</v>
      </c>
      <c r="S262" s="296"/>
      <c r="T262" s="3">
        <v>15</v>
      </c>
      <c r="U262" s="293"/>
    </row>
    <row r="263" spans="1:21" ht="30" customHeight="1" x14ac:dyDescent="0.35">
      <c r="A263" s="218" t="s">
        <v>2557</v>
      </c>
      <c r="B263" s="3">
        <v>245</v>
      </c>
      <c r="C263" s="44">
        <v>10104567</v>
      </c>
      <c r="D263" s="18" t="s">
        <v>1809</v>
      </c>
      <c r="E263" s="18" t="s">
        <v>2228</v>
      </c>
      <c r="F263" s="12">
        <v>2</v>
      </c>
      <c r="G263" s="3" t="s">
        <v>0</v>
      </c>
      <c r="H263" s="39">
        <v>40157</v>
      </c>
      <c r="I263" s="27" t="s">
        <v>984</v>
      </c>
      <c r="J263" s="4" t="s">
        <v>1962</v>
      </c>
      <c r="K263" s="4" t="s">
        <v>988</v>
      </c>
      <c r="L263" s="29" t="s">
        <v>977</v>
      </c>
      <c r="M263" s="78">
        <f t="shared" si="54"/>
        <v>83793.08</v>
      </c>
      <c r="N263" s="78">
        <f t="shared" si="51"/>
        <v>41896.54</v>
      </c>
      <c r="O263" s="78">
        <v>83793.08</v>
      </c>
      <c r="P263" s="72">
        <v>119550</v>
      </c>
      <c r="Q263" s="256">
        <f t="shared" si="52"/>
        <v>26301</v>
      </c>
      <c r="R263" s="256">
        <f t="shared" si="53"/>
        <v>145851</v>
      </c>
      <c r="S263" s="296"/>
      <c r="T263" s="3">
        <v>15</v>
      </c>
      <c r="U263" s="293"/>
    </row>
    <row r="264" spans="1:21" ht="30" customHeight="1" x14ac:dyDescent="0.35">
      <c r="A264" s="218" t="s">
        <v>2558</v>
      </c>
      <c r="B264" s="3">
        <v>246</v>
      </c>
      <c r="C264" s="44">
        <v>10151191</v>
      </c>
      <c r="D264" s="18" t="s">
        <v>1886</v>
      </c>
      <c r="E264" s="18" t="s">
        <v>2228</v>
      </c>
      <c r="F264" s="12">
        <f>16-1</f>
        <v>15</v>
      </c>
      <c r="G264" s="3" t="s">
        <v>0</v>
      </c>
      <c r="H264" s="39">
        <v>41501</v>
      </c>
      <c r="I264" s="27" t="s">
        <v>984</v>
      </c>
      <c r="J264" s="4" t="s">
        <v>1962</v>
      </c>
      <c r="K264" s="4" t="s">
        <v>988</v>
      </c>
      <c r="L264" s="29" t="s">
        <v>977</v>
      </c>
      <c r="M264" s="78">
        <f t="shared" si="54"/>
        <v>528435</v>
      </c>
      <c r="N264" s="78">
        <f t="shared" si="51"/>
        <v>35229</v>
      </c>
      <c r="O264" s="78">
        <f>563664/16*15</f>
        <v>528435</v>
      </c>
      <c r="P264" s="72">
        <v>619870</v>
      </c>
      <c r="Q264" s="256">
        <f t="shared" si="52"/>
        <v>136371.4</v>
      </c>
      <c r="R264" s="256">
        <f t="shared" si="53"/>
        <v>756241.4</v>
      </c>
      <c r="S264" s="296"/>
      <c r="T264" s="3">
        <v>15</v>
      </c>
      <c r="U264" s="293"/>
    </row>
    <row r="265" spans="1:21" ht="30" customHeight="1" x14ac:dyDescent="0.35">
      <c r="A265" s="218" t="s">
        <v>2559</v>
      </c>
      <c r="B265" s="3">
        <v>247</v>
      </c>
      <c r="C265" s="44">
        <v>10001014</v>
      </c>
      <c r="D265" s="18" t="s">
        <v>1</v>
      </c>
      <c r="E265" s="18" t="s">
        <v>2228</v>
      </c>
      <c r="F265" s="12">
        <f>48-42</f>
        <v>6</v>
      </c>
      <c r="G265" s="3" t="s">
        <v>0</v>
      </c>
      <c r="H265" s="39">
        <v>42004</v>
      </c>
      <c r="I265" s="27" t="s">
        <v>984</v>
      </c>
      <c r="J265" s="4" t="s">
        <v>1962</v>
      </c>
      <c r="K265" s="4" t="s">
        <v>988</v>
      </c>
      <c r="L265" s="29" t="s">
        <v>977</v>
      </c>
      <c r="M265" s="78">
        <f t="shared" si="54"/>
        <v>2493.44</v>
      </c>
      <c r="N265" s="78">
        <f t="shared" si="51"/>
        <v>415.57</v>
      </c>
      <c r="O265" s="78">
        <f>19947.51/48*6</f>
        <v>2493.44</v>
      </c>
      <c r="P265" s="72">
        <v>3020</v>
      </c>
      <c r="Q265" s="256">
        <f t="shared" si="52"/>
        <v>664.4</v>
      </c>
      <c r="R265" s="256">
        <f t="shared" si="53"/>
        <v>3684.4</v>
      </c>
      <c r="S265" s="296"/>
      <c r="T265" s="3">
        <v>15</v>
      </c>
      <c r="U265" s="293"/>
    </row>
    <row r="266" spans="1:21" ht="30" customHeight="1" x14ac:dyDescent="0.35">
      <c r="A266" s="218" t="s">
        <v>2560</v>
      </c>
      <c r="B266" s="3">
        <v>248</v>
      </c>
      <c r="C266" s="44">
        <v>10018471</v>
      </c>
      <c r="D266" s="18" t="s">
        <v>1888</v>
      </c>
      <c r="E266" s="18" t="s">
        <v>2228</v>
      </c>
      <c r="F266" s="12">
        <v>1</v>
      </c>
      <c r="G266" s="3" t="s">
        <v>0</v>
      </c>
      <c r="H266" s="39">
        <v>42004</v>
      </c>
      <c r="I266" s="27" t="s">
        <v>984</v>
      </c>
      <c r="J266" s="4" t="s">
        <v>1962</v>
      </c>
      <c r="K266" s="4" t="s">
        <v>988</v>
      </c>
      <c r="L266" s="29" t="s">
        <v>977</v>
      </c>
      <c r="M266" s="78">
        <f t="shared" si="54"/>
        <v>2116.52</v>
      </c>
      <c r="N266" s="78">
        <f t="shared" si="51"/>
        <v>2116.52</v>
      </c>
      <c r="O266" s="78">
        <v>2116.52</v>
      </c>
      <c r="P266" s="72">
        <v>2560</v>
      </c>
      <c r="Q266" s="256">
        <f t="shared" si="52"/>
        <v>563.20000000000005</v>
      </c>
      <c r="R266" s="256">
        <f t="shared" si="53"/>
        <v>3123.2</v>
      </c>
      <c r="S266" s="296"/>
      <c r="T266" s="3">
        <v>15</v>
      </c>
      <c r="U266" s="293"/>
    </row>
    <row r="267" spans="1:21" ht="30" customHeight="1" x14ac:dyDescent="0.35">
      <c r="A267" s="218" t="s">
        <v>2561</v>
      </c>
      <c r="B267" s="3">
        <v>249</v>
      </c>
      <c r="C267" s="19">
        <v>10150033</v>
      </c>
      <c r="D267" s="19" t="s">
        <v>539</v>
      </c>
      <c r="E267" s="19" t="s">
        <v>2219</v>
      </c>
      <c r="F267" s="34">
        <v>0.108</v>
      </c>
      <c r="G267" s="3" t="s">
        <v>3</v>
      </c>
      <c r="H267" s="37">
        <v>42461</v>
      </c>
      <c r="I267" s="19" t="s">
        <v>984</v>
      </c>
      <c r="J267" s="4" t="s">
        <v>981</v>
      </c>
      <c r="K267" s="4" t="s">
        <v>988</v>
      </c>
      <c r="L267" s="4" t="s">
        <v>977</v>
      </c>
      <c r="M267" s="81">
        <f t="shared" si="54"/>
        <v>5052.97</v>
      </c>
      <c r="N267" s="81">
        <f t="shared" si="51"/>
        <v>46786.76</v>
      </c>
      <c r="O267" s="81">
        <v>5052.97</v>
      </c>
      <c r="P267" s="72">
        <v>5410</v>
      </c>
      <c r="Q267" s="256">
        <f t="shared" si="52"/>
        <v>1190.2</v>
      </c>
      <c r="R267" s="256">
        <f t="shared" si="53"/>
        <v>6600.2</v>
      </c>
      <c r="S267" s="296"/>
      <c r="T267" s="3">
        <v>15</v>
      </c>
      <c r="U267" s="293"/>
    </row>
    <row r="268" spans="1:21" ht="52.5" customHeight="1" x14ac:dyDescent="0.35">
      <c r="A268" s="218" t="s">
        <v>2562</v>
      </c>
      <c r="B268" s="3">
        <v>250</v>
      </c>
      <c r="C268" s="65">
        <v>10001040</v>
      </c>
      <c r="D268" s="8" t="s">
        <v>1424</v>
      </c>
      <c r="E268" s="19" t="s">
        <v>2219</v>
      </c>
      <c r="F268" s="92">
        <f>3-2</f>
        <v>1</v>
      </c>
      <c r="G268" s="3" t="s">
        <v>0</v>
      </c>
      <c r="H268" s="40">
        <v>41487</v>
      </c>
      <c r="I268" s="27" t="s">
        <v>984</v>
      </c>
      <c r="J268" s="41" t="s">
        <v>1432</v>
      </c>
      <c r="K268" s="4" t="s">
        <v>988</v>
      </c>
      <c r="L268" s="29" t="s">
        <v>977</v>
      </c>
      <c r="M268" s="78">
        <f t="shared" si="54"/>
        <v>19160.46</v>
      </c>
      <c r="N268" s="78">
        <f t="shared" si="51"/>
        <v>19160.46</v>
      </c>
      <c r="O268" s="78">
        <f>57481.37/3*1</f>
        <v>19160.46</v>
      </c>
      <c r="P268" s="72">
        <v>22480</v>
      </c>
      <c r="Q268" s="256">
        <f t="shared" si="52"/>
        <v>4945.6000000000004</v>
      </c>
      <c r="R268" s="256">
        <f t="shared" si="53"/>
        <v>27425.599999999999</v>
      </c>
      <c r="S268" s="296"/>
      <c r="T268" s="3">
        <v>15</v>
      </c>
      <c r="U268" s="293"/>
    </row>
    <row r="269" spans="1:21" ht="30" customHeight="1" x14ac:dyDescent="0.35">
      <c r="A269" s="218" t="s">
        <v>2563</v>
      </c>
      <c r="B269" s="3">
        <v>251</v>
      </c>
      <c r="C269" s="65">
        <v>10108121</v>
      </c>
      <c r="D269" s="8" t="s">
        <v>1425</v>
      </c>
      <c r="E269" s="19" t="s">
        <v>2219</v>
      </c>
      <c r="F269" s="92">
        <v>6</v>
      </c>
      <c r="G269" s="3" t="s">
        <v>0</v>
      </c>
      <c r="H269" s="40">
        <v>41487</v>
      </c>
      <c r="I269" s="27" t="s">
        <v>984</v>
      </c>
      <c r="J269" s="41" t="s">
        <v>1432</v>
      </c>
      <c r="K269" s="4" t="s">
        <v>988</v>
      </c>
      <c r="L269" s="29" t="s">
        <v>977</v>
      </c>
      <c r="M269" s="78">
        <f t="shared" si="54"/>
        <v>118960.75</v>
      </c>
      <c r="N269" s="78">
        <f t="shared" si="51"/>
        <v>19826.79</v>
      </c>
      <c r="O269" s="78">
        <v>118960.75</v>
      </c>
      <c r="P269" s="72">
        <v>139540</v>
      </c>
      <c r="Q269" s="256">
        <f t="shared" si="52"/>
        <v>30698.799999999999</v>
      </c>
      <c r="R269" s="256">
        <f t="shared" si="53"/>
        <v>170238.8</v>
      </c>
      <c r="S269" s="296"/>
      <c r="T269" s="3">
        <v>15</v>
      </c>
      <c r="U269" s="293"/>
    </row>
    <row r="270" spans="1:21" ht="33.75" customHeight="1" x14ac:dyDescent="0.35">
      <c r="A270" s="218" t="s">
        <v>2564</v>
      </c>
      <c r="B270" s="3">
        <v>252</v>
      </c>
      <c r="C270" s="65">
        <v>10106619</v>
      </c>
      <c r="D270" s="8" t="s">
        <v>1426</v>
      </c>
      <c r="E270" s="19" t="s">
        <v>2219</v>
      </c>
      <c r="F270" s="92">
        <v>2</v>
      </c>
      <c r="G270" s="3" t="s">
        <v>0</v>
      </c>
      <c r="H270" s="40">
        <v>41487</v>
      </c>
      <c r="I270" s="27" t="s">
        <v>984</v>
      </c>
      <c r="J270" s="41" t="s">
        <v>1433</v>
      </c>
      <c r="K270" s="4" t="s">
        <v>988</v>
      </c>
      <c r="L270" s="29" t="s">
        <v>977</v>
      </c>
      <c r="M270" s="78">
        <f t="shared" si="54"/>
        <v>43185.41</v>
      </c>
      <c r="N270" s="78">
        <f t="shared" si="51"/>
        <v>21592.71</v>
      </c>
      <c r="O270" s="78">
        <v>43185.41</v>
      </c>
      <c r="P270" s="72">
        <v>50660</v>
      </c>
      <c r="Q270" s="256">
        <f t="shared" si="52"/>
        <v>11145.2</v>
      </c>
      <c r="R270" s="256">
        <f t="shared" si="53"/>
        <v>61805.2</v>
      </c>
      <c r="S270" s="296"/>
      <c r="T270" s="3">
        <v>15</v>
      </c>
      <c r="U270" s="293"/>
    </row>
    <row r="271" spans="1:21" ht="30" customHeight="1" x14ac:dyDescent="0.35">
      <c r="A271" s="218" t="s">
        <v>2565</v>
      </c>
      <c r="B271" s="3">
        <v>253</v>
      </c>
      <c r="C271" s="65">
        <v>10143514</v>
      </c>
      <c r="D271" s="8" t="s">
        <v>1427</v>
      </c>
      <c r="E271" s="19" t="s">
        <v>2219</v>
      </c>
      <c r="F271" s="92">
        <v>3</v>
      </c>
      <c r="G271" s="3" t="s">
        <v>0</v>
      </c>
      <c r="H271" s="40">
        <v>41122</v>
      </c>
      <c r="I271" s="27" t="s">
        <v>984</v>
      </c>
      <c r="J271" s="41" t="s">
        <v>1434</v>
      </c>
      <c r="K271" s="4" t="s">
        <v>988</v>
      </c>
      <c r="L271" s="29" t="s">
        <v>977</v>
      </c>
      <c r="M271" s="78">
        <f t="shared" si="54"/>
        <v>626401.81000000006</v>
      </c>
      <c r="N271" s="78">
        <f t="shared" ref="N271:N274" si="55">O271/F271</f>
        <v>208800.6</v>
      </c>
      <c r="O271" s="78">
        <v>626401.81000000006</v>
      </c>
      <c r="P271" s="72">
        <v>756540</v>
      </c>
      <c r="Q271" s="256">
        <f t="shared" si="52"/>
        <v>166438.79999999999</v>
      </c>
      <c r="R271" s="256">
        <f t="shared" si="53"/>
        <v>922978.8</v>
      </c>
      <c r="S271" s="296"/>
      <c r="T271" s="3">
        <v>15</v>
      </c>
      <c r="U271" s="293"/>
    </row>
    <row r="272" spans="1:21" ht="30" customHeight="1" x14ac:dyDescent="0.35">
      <c r="A272" s="218" t="s">
        <v>2566</v>
      </c>
      <c r="B272" s="3">
        <v>254</v>
      </c>
      <c r="C272" s="65">
        <v>10143548</v>
      </c>
      <c r="D272" s="8" t="s">
        <v>132</v>
      </c>
      <c r="E272" s="19" t="s">
        <v>2219</v>
      </c>
      <c r="F272" s="92">
        <f>407-1-8-70-30-1-10</f>
        <v>287</v>
      </c>
      <c r="G272" s="3" t="s">
        <v>0</v>
      </c>
      <c r="H272" s="40">
        <v>41122</v>
      </c>
      <c r="I272" s="27" t="s">
        <v>984</v>
      </c>
      <c r="J272" s="41" t="s">
        <v>1431</v>
      </c>
      <c r="K272" s="4" t="s">
        <v>988</v>
      </c>
      <c r="L272" s="29" t="s">
        <v>977</v>
      </c>
      <c r="M272" s="78">
        <f t="shared" si="54"/>
        <v>2402738.71</v>
      </c>
      <c r="N272" s="78">
        <f t="shared" si="55"/>
        <v>8371.91</v>
      </c>
      <c r="O272" s="78">
        <f>3398996.23/406*287</f>
        <v>2402738.71</v>
      </c>
      <c r="P272" s="72">
        <v>2901930</v>
      </c>
      <c r="Q272" s="256">
        <f t="shared" si="52"/>
        <v>638424.6</v>
      </c>
      <c r="R272" s="256">
        <f t="shared" si="53"/>
        <v>3540354.6</v>
      </c>
      <c r="S272" s="296"/>
      <c r="T272" s="3">
        <v>15</v>
      </c>
      <c r="U272" s="293"/>
    </row>
    <row r="273" spans="1:21" ht="30" customHeight="1" x14ac:dyDescent="0.35">
      <c r="A273" s="218" t="s">
        <v>2567</v>
      </c>
      <c r="B273" s="3">
        <v>255</v>
      </c>
      <c r="C273" s="65">
        <v>10143629</v>
      </c>
      <c r="D273" s="8" t="s">
        <v>1428</v>
      </c>
      <c r="E273" s="19" t="s">
        <v>2219</v>
      </c>
      <c r="F273" s="92">
        <v>81</v>
      </c>
      <c r="G273" s="3" t="s">
        <v>0</v>
      </c>
      <c r="H273" s="40">
        <v>41122</v>
      </c>
      <c r="I273" s="27" t="s">
        <v>984</v>
      </c>
      <c r="J273" s="41" t="s">
        <v>1432</v>
      </c>
      <c r="K273" s="4" t="s">
        <v>988</v>
      </c>
      <c r="L273" s="29" t="s">
        <v>977</v>
      </c>
      <c r="M273" s="78">
        <f t="shared" si="54"/>
        <v>745793.94</v>
      </c>
      <c r="N273" s="78">
        <f t="shared" si="55"/>
        <v>9207.33</v>
      </c>
      <c r="O273" s="78">
        <v>745793.94</v>
      </c>
      <c r="P273" s="72">
        <v>900740</v>
      </c>
      <c r="Q273" s="256">
        <f t="shared" si="52"/>
        <v>198162.8</v>
      </c>
      <c r="R273" s="256">
        <f t="shared" si="53"/>
        <v>1098902.8</v>
      </c>
      <c r="S273" s="296"/>
      <c r="T273" s="3">
        <v>15</v>
      </c>
      <c r="U273" s="293"/>
    </row>
    <row r="274" spans="1:21" ht="30" customHeight="1" x14ac:dyDescent="0.35">
      <c r="A274" s="218" t="s">
        <v>2568</v>
      </c>
      <c r="B274" s="3">
        <v>256</v>
      </c>
      <c r="C274" s="65">
        <v>10143515</v>
      </c>
      <c r="D274" s="8" t="s">
        <v>1345</v>
      </c>
      <c r="E274" s="19" t="s">
        <v>2219</v>
      </c>
      <c r="F274" s="92">
        <v>7</v>
      </c>
      <c r="G274" s="3" t="s">
        <v>0</v>
      </c>
      <c r="H274" s="40">
        <v>41122</v>
      </c>
      <c r="I274" s="27" t="s">
        <v>984</v>
      </c>
      <c r="J274" s="41" t="s">
        <v>1435</v>
      </c>
      <c r="K274" s="4" t="s">
        <v>988</v>
      </c>
      <c r="L274" s="29" t="s">
        <v>977</v>
      </c>
      <c r="M274" s="78">
        <f t="shared" si="54"/>
        <v>490457.13</v>
      </c>
      <c r="N274" s="78">
        <f t="shared" si="55"/>
        <v>70065.3</v>
      </c>
      <c r="O274" s="78">
        <v>490457.13</v>
      </c>
      <c r="P274" s="72">
        <v>594010</v>
      </c>
      <c r="Q274" s="256">
        <f t="shared" si="52"/>
        <v>130682.2</v>
      </c>
      <c r="R274" s="256">
        <f t="shared" si="53"/>
        <v>724692.2</v>
      </c>
      <c r="S274" s="297"/>
      <c r="T274" s="3">
        <v>15</v>
      </c>
      <c r="U274" s="293"/>
    </row>
    <row r="275" spans="1:21" ht="15" customHeight="1" x14ac:dyDescent="0.35">
      <c r="A275" s="218"/>
      <c r="B275" s="94"/>
      <c r="C275" s="65"/>
      <c r="D275" s="8"/>
      <c r="E275" s="19"/>
      <c r="F275" s="92"/>
      <c r="G275" s="3"/>
      <c r="H275" s="40"/>
      <c r="I275" s="27"/>
      <c r="J275" s="41"/>
      <c r="K275" s="4"/>
      <c r="L275" s="29"/>
      <c r="M275" s="78"/>
      <c r="N275" s="78"/>
      <c r="O275" s="108">
        <f>SUM(O180:O274)</f>
        <v>15275386.74</v>
      </c>
      <c r="P275" s="276">
        <f t="shared" ref="P275:Q275" si="56">SUM(P180:P274)</f>
        <v>17995990</v>
      </c>
      <c r="Q275" s="282">
        <f t="shared" si="56"/>
        <v>3959117.8</v>
      </c>
      <c r="R275" s="282">
        <f>SUM(R180:R274)</f>
        <v>21955107.800000001</v>
      </c>
      <c r="S275" s="286">
        <f>R275/100*10</f>
        <v>2195510.7799999998</v>
      </c>
      <c r="T275" s="104">
        <v>15</v>
      </c>
      <c r="U275" s="304"/>
    </row>
    <row r="276" spans="1:21" ht="30" customHeight="1" x14ac:dyDescent="0.35">
      <c r="A276" s="218" t="s">
        <v>2569</v>
      </c>
      <c r="B276" s="3">
        <v>257</v>
      </c>
      <c r="C276" s="44">
        <v>10136539</v>
      </c>
      <c r="D276" s="18" t="s">
        <v>242</v>
      </c>
      <c r="E276" s="18" t="s">
        <v>2208</v>
      </c>
      <c r="F276" s="12">
        <v>2</v>
      </c>
      <c r="G276" s="3" t="s">
        <v>0</v>
      </c>
      <c r="H276" s="5">
        <v>42064</v>
      </c>
      <c r="I276" s="5" t="s">
        <v>2144</v>
      </c>
      <c r="J276" s="4" t="s">
        <v>1962</v>
      </c>
      <c r="K276" s="5" t="s">
        <v>988</v>
      </c>
      <c r="L276" s="6" t="s">
        <v>871</v>
      </c>
      <c r="M276" s="81">
        <f t="shared" si="54"/>
        <v>12423.46</v>
      </c>
      <c r="N276" s="81">
        <f t="shared" ref="N276:N303" si="57">O276/F276</f>
        <v>6211.73</v>
      </c>
      <c r="O276" s="81">
        <v>12423.46</v>
      </c>
      <c r="P276" s="72">
        <v>8240</v>
      </c>
      <c r="Q276" s="256">
        <f t="shared" ref="Q276:Q306" si="58">R276-P276</f>
        <v>1812.8</v>
      </c>
      <c r="R276" s="256">
        <f t="shared" ref="R276:R306" si="59">P276*1.22</f>
        <v>10052.799999999999</v>
      </c>
      <c r="S276" s="289"/>
      <c r="T276" s="3">
        <v>16</v>
      </c>
      <c r="U276" s="292" t="s">
        <v>2310</v>
      </c>
    </row>
    <row r="277" spans="1:21" ht="39" customHeight="1" x14ac:dyDescent="0.35">
      <c r="A277" s="218" t="s">
        <v>2570</v>
      </c>
      <c r="B277" s="3">
        <v>258</v>
      </c>
      <c r="C277" s="44">
        <v>10007442</v>
      </c>
      <c r="D277" s="18" t="s">
        <v>299</v>
      </c>
      <c r="E277" s="18" t="s">
        <v>2201</v>
      </c>
      <c r="F277" s="12">
        <v>1</v>
      </c>
      <c r="G277" s="3" t="s">
        <v>0</v>
      </c>
      <c r="H277" s="49" t="s">
        <v>517</v>
      </c>
      <c r="I277" s="5" t="s">
        <v>999</v>
      </c>
      <c r="J277" s="4" t="s">
        <v>1962</v>
      </c>
      <c r="K277" s="5" t="s">
        <v>988</v>
      </c>
      <c r="L277" s="5" t="s">
        <v>871</v>
      </c>
      <c r="M277" s="72">
        <f t="shared" si="54"/>
        <v>442.83</v>
      </c>
      <c r="N277" s="72">
        <f t="shared" si="57"/>
        <v>442.83</v>
      </c>
      <c r="O277" s="72">
        <v>442.83</v>
      </c>
      <c r="P277" s="72">
        <v>320</v>
      </c>
      <c r="Q277" s="256">
        <f t="shared" si="58"/>
        <v>70.400000000000006</v>
      </c>
      <c r="R277" s="256">
        <f t="shared" si="59"/>
        <v>390.4</v>
      </c>
      <c r="S277" s="296"/>
      <c r="T277" s="3">
        <v>16</v>
      </c>
      <c r="U277" s="293"/>
    </row>
    <row r="278" spans="1:21" ht="30" customHeight="1" x14ac:dyDescent="0.35">
      <c r="A278" s="218" t="s">
        <v>2571</v>
      </c>
      <c r="B278" s="3">
        <v>259</v>
      </c>
      <c r="C278" s="44">
        <v>10101010</v>
      </c>
      <c r="D278" s="18" t="s">
        <v>301</v>
      </c>
      <c r="E278" s="18" t="s">
        <v>2201</v>
      </c>
      <c r="F278" s="12">
        <v>1</v>
      </c>
      <c r="G278" s="3" t="s">
        <v>0</v>
      </c>
      <c r="H278" s="49" t="s">
        <v>517</v>
      </c>
      <c r="I278" s="5" t="s">
        <v>999</v>
      </c>
      <c r="J278" s="4" t="s">
        <v>1962</v>
      </c>
      <c r="K278" s="5" t="s">
        <v>988</v>
      </c>
      <c r="L278" s="5" t="s">
        <v>871</v>
      </c>
      <c r="M278" s="72">
        <f t="shared" si="54"/>
        <v>2966.1</v>
      </c>
      <c r="N278" s="72">
        <f t="shared" si="57"/>
        <v>2966.1</v>
      </c>
      <c r="O278" s="72">
        <v>2966.1</v>
      </c>
      <c r="P278" s="72">
        <v>2110</v>
      </c>
      <c r="Q278" s="256">
        <f t="shared" si="58"/>
        <v>464.2</v>
      </c>
      <c r="R278" s="256">
        <f t="shared" si="59"/>
        <v>2574.1999999999998</v>
      </c>
      <c r="S278" s="296"/>
      <c r="T278" s="3">
        <v>16</v>
      </c>
      <c r="U278" s="293"/>
    </row>
    <row r="279" spans="1:21" ht="30" customHeight="1" x14ac:dyDescent="0.35">
      <c r="A279" s="218" t="s">
        <v>2572</v>
      </c>
      <c r="B279" s="3">
        <v>260</v>
      </c>
      <c r="C279" s="44">
        <v>10046307</v>
      </c>
      <c r="D279" s="18" t="s">
        <v>345</v>
      </c>
      <c r="E279" s="18" t="s">
        <v>2201</v>
      </c>
      <c r="F279" s="12">
        <v>2</v>
      </c>
      <c r="G279" s="3" t="s">
        <v>0</v>
      </c>
      <c r="H279" s="49" t="s">
        <v>517</v>
      </c>
      <c r="I279" s="5" t="s">
        <v>999</v>
      </c>
      <c r="J279" s="4" t="s">
        <v>1962</v>
      </c>
      <c r="K279" s="5" t="s">
        <v>988</v>
      </c>
      <c r="L279" s="5" t="s">
        <v>871</v>
      </c>
      <c r="M279" s="72">
        <f t="shared" si="54"/>
        <v>8713.06</v>
      </c>
      <c r="N279" s="72">
        <f t="shared" si="57"/>
        <v>4356.53</v>
      </c>
      <c r="O279" s="72">
        <v>8713.06</v>
      </c>
      <c r="P279" s="72">
        <v>6210</v>
      </c>
      <c r="Q279" s="256">
        <f t="shared" si="58"/>
        <v>1366.2</v>
      </c>
      <c r="R279" s="256">
        <f t="shared" si="59"/>
        <v>7576.2</v>
      </c>
      <c r="S279" s="296"/>
      <c r="T279" s="3">
        <v>16</v>
      </c>
      <c r="U279" s="293"/>
    </row>
    <row r="280" spans="1:21" ht="30" customHeight="1" x14ac:dyDescent="0.35">
      <c r="A280" s="218" t="s">
        <v>2573</v>
      </c>
      <c r="B280" s="3">
        <v>261</v>
      </c>
      <c r="C280" s="44">
        <v>10046298</v>
      </c>
      <c r="D280" s="18" t="s">
        <v>249</v>
      </c>
      <c r="E280" s="18" t="s">
        <v>2203</v>
      </c>
      <c r="F280" s="12">
        <v>4</v>
      </c>
      <c r="G280" s="3" t="s">
        <v>0</v>
      </c>
      <c r="H280" s="5">
        <v>42064</v>
      </c>
      <c r="I280" s="5" t="s">
        <v>2144</v>
      </c>
      <c r="J280" s="4" t="s">
        <v>1962</v>
      </c>
      <c r="K280" s="5" t="s">
        <v>988</v>
      </c>
      <c r="L280" s="5" t="s">
        <v>871</v>
      </c>
      <c r="M280" s="72">
        <f t="shared" si="54"/>
        <v>6864</v>
      </c>
      <c r="N280" s="72">
        <f t="shared" si="57"/>
        <v>1716</v>
      </c>
      <c r="O280" s="72">
        <v>6864</v>
      </c>
      <c r="P280" s="72">
        <v>4550</v>
      </c>
      <c r="Q280" s="256">
        <f t="shared" si="58"/>
        <v>1001</v>
      </c>
      <c r="R280" s="256">
        <f t="shared" si="59"/>
        <v>5551</v>
      </c>
      <c r="S280" s="296"/>
      <c r="T280" s="3">
        <v>16</v>
      </c>
      <c r="U280" s="293"/>
    </row>
    <row r="281" spans="1:21" ht="18.75" customHeight="1" x14ac:dyDescent="0.35">
      <c r="A281" s="218" t="s">
        <v>2574</v>
      </c>
      <c r="B281" s="3">
        <v>262</v>
      </c>
      <c r="C281" s="44">
        <v>10046298</v>
      </c>
      <c r="D281" s="18" t="s">
        <v>249</v>
      </c>
      <c r="E281" s="18" t="s">
        <v>4106</v>
      </c>
      <c r="F281" s="12">
        <v>5</v>
      </c>
      <c r="G281" s="3" t="s">
        <v>0</v>
      </c>
      <c r="H281" s="5">
        <v>42064</v>
      </c>
      <c r="I281" s="5" t="s">
        <v>2144</v>
      </c>
      <c r="J281" s="4" t="s">
        <v>1962</v>
      </c>
      <c r="K281" s="5" t="s">
        <v>988</v>
      </c>
      <c r="L281" s="5" t="s">
        <v>871</v>
      </c>
      <c r="M281" s="73">
        <f t="shared" si="54"/>
        <v>8580</v>
      </c>
      <c r="N281" s="86">
        <f t="shared" si="57"/>
        <v>1716</v>
      </c>
      <c r="O281" s="72">
        <v>8580</v>
      </c>
      <c r="P281" s="72">
        <v>5690</v>
      </c>
      <c r="Q281" s="256">
        <f t="shared" si="58"/>
        <v>1251.8</v>
      </c>
      <c r="R281" s="256">
        <f t="shared" si="59"/>
        <v>6941.8</v>
      </c>
      <c r="S281" s="296"/>
      <c r="T281" s="3">
        <v>16</v>
      </c>
      <c r="U281" s="293"/>
    </row>
    <row r="282" spans="1:21" ht="27.75" customHeight="1" x14ac:dyDescent="0.35">
      <c r="A282" s="218" t="s">
        <v>2575</v>
      </c>
      <c r="B282" s="3">
        <v>263</v>
      </c>
      <c r="C282" s="44">
        <v>10047156</v>
      </c>
      <c r="D282" s="18" t="s">
        <v>384</v>
      </c>
      <c r="E282" s="18" t="s">
        <v>2201</v>
      </c>
      <c r="F282" s="12">
        <f>6-2-2</f>
        <v>2</v>
      </c>
      <c r="G282" s="3" t="s">
        <v>0</v>
      </c>
      <c r="H282" s="5">
        <v>42824</v>
      </c>
      <c r="I282" s="5" t="s">
        <v>999</v>
      </c>
      <c r="J282" s="4" t="s">
        <v>1962</v>
      </c>
      <c r="K282" s="5" t="s">
        <v>988</v>
      </c>
      <c r="L282" s="5" t="s">
        <v>871</v>
      </c>
      <c r="M282" s="73">
        <f t="shared" si="54"/>
        <v>3270.2</v>
      </c>
      <c r="N282" s="73">
        <f t="shared" si="57"/>
        <v>1635.1</v>
      </c>
      <c r="O282" s="72">
        <f>9810.6/6*2</f>
        <v>3270.2</v>
      </c>
      <c r="P282" s="72">
        <v>1980</v>
      </c>
      <c r="Q282" s="256">
        <f t="shared" si="58"/>
        <v>435.6</v>
      </c>
      <c r="R282" s="256">
        <f t="shared" si="59"/>
        <v>2415.6</v>
      </c>
      <c r="S282" s="296"/>
      <c r="T282" s="3">
        <v>16</v>
      </c>
      <c r="U282" s="293"/>
    </row>
    <row r="283" spans="1:21" ht="45" customHeight="1" x14ac:dyDescent="0.35">
      <c r="A283" s="218" t="s">
        <v>2576</v>
      </c>
      <c r="B283" s="3">
        <v>264</v>
      </c>
      <c r="C283" s="44">
        <v>10047157</v>
      </c>
      <c r="D283" s="18" t="s">
        <v>385</v>
      </c>
      <c r="E283" s="18" t="s">
        <v>2201</v>
      </c>
      <c r="F283" s="12">
        <f>6-2</f>
        <v>4</v>
      </c>
      <c r="G283" s="3" t="s">
        <v>0</v>
      </c>
      <c r="H283" s="5">
        <v>42824</v>
      </c>
      <c r="I283" s="5" t="s">
        <v>999</v>
      </c>
      <c r="J283" s="4" t="s">
        <v>1962</v>
      </c>
      <c r="K283" s="5" t="s">
        <v>988</v>
      </c>
      <c r="L283" s="5" t="s">
        <v>871</v>
      </c>
      <c r="M283" s="72">
        <f t="shared" si="54"/>
        <v>9480</v>
      </c>
      <c r="N283" s="72">
        <f t="shared" si="57"/>
        <v>2370</v>
      </c>
      <c r="O283" s="72">
        <f>14220/6*4</f>
        <v>9480</v>
      </c>
      <c r="P283" s="72">
        <v>5730</v>
      </c>
      <c r="Q283" s="256">
        <f t="shared" si="58"/>
        <v>1260.5999999999999</v>
      </c>
      <c r="R283" s="256">
        <f t="shared" si="59"/>
        <v>6990.6</v>
      </c>
      <c r="S283" s="296"/>
      <c r="T283" s="3">
        <v>16</v>
      </c>
      <c r="U283" s="293"/>
    </row>
    <row r="284" spans="1:21" ht="30" customHeight="1" x14ac:dyDescent="0.35">
      <c r="A284" s="218" t="s">
        <v>2577</v>
      </c>
      <c r="B284" s="3">
        <v>265</v>
      </c>
      <c r="C284" s="44">
        <v>10047158</v>
      </c>
      <c r="D284" s="18" t="s">
        <v>386</v>
      </c>
      <c r="E284" s="18" t="s">
        <v>2201</v>
      </c>
      <c r="F284" s="12">
        <f>6-1</f>
        <v>5</v>
      </c>
      <c r="G284" s="3" t="s">
        <v>0</v>
      </c>
      <c r="H284" s="5">
        <v>42824</v>
      </c>
      <c r="I284" s="5" t="s">
        <v>999</v>
      </c>
      <c r="J284" s="4" t="s">
        <v>1962</v>
      </c>
      <c r="K284" s="5" t="s">
        <v>988</v>
      </c>
      <c r="L284" s="5" t="s">
        <v>871</v>
      </c>
      <c r="M284" s="72">
        <f t="shared" si="54"/>
        <v>12615.63</v>
      </c>
      <c r="N284" s="72">
        <f t="shared" si="57"/>
        <v>2523.13</v>
      </c>
      <c r="O284" s="72">
        <f>15138.75/6*5</f>
        <v>12615.63</v>
      </c>
      <c r="P284" s="72">
        <v>7630</v>
      </c>
      <c r="Q284" s="256">
        <f t="shared" si="58"/>
        <v>1678.6</v>
      </c>
      <c r="R284" s="256">
        <f t="shared" si="59"/>
        <v>9308.6</v>
      </c>
      <c r="S284" s="296"/>
      <c r="T284" s="3">
        <v>16</v>
      </c>
      <c r="U284" s="293"/>
    </row>
    <row r="285" spans="1:21" ht="30" customHeight="1" x14ac:dyDescent="0.35">
      <c r="A285" s="218" t="s">
        <v>2578</v>
      </c>
      <c r="B285" s="3">
        <v>266</v>
      </c>
      <c r="C285" s="44">
        <v>102002630</v>
      </c>
      <c r="D285" s="18" t="s">
        <v>344</v>
      </c>
      <c r="E285" s="18" t="s">
        <v>2196</v>
      </c>
      <c r="F285" s="12">
        <v>1</v>
      </c>
      <c r="G285" s="3" t="s">
        <v>0</v>
      </c>
      <c r="H285" s="5">
        <v>41431</v>
      </c>
      <c r="I285" s="49" t="s">
        <v>999</v>
      </c>
      <c r="J285" s="4" t="s">
        <v>1962</v>
      </c>
      <c r="K285" s="5" t="s">
        <v>988</v>
      </c>
      <c r="L285" s="29" t="s">
        <v>2143</v>
      </c>
      <c r="M285" s="78">
        <f t="shared" si="54"/>
        <v>6720</v>
      </c>
      <c r="N285" s="78">
        <f t="shared" si="57"/>
        <v>6720</v>
      </c>
      <c r="O285" s="78">
        <v>6720</v>
      </c>
      <c r="P285" s="72">
        <v>5070</v>
      </c>
      <c r="Q285" s="256">
        <f t="shared" si="58"/>
        <v>1115.4000000000001</v>
      </c>
      <c r="R285" s="256">
        <f t="shared" si="59"/>
        <v>6185.4</v>
      </c>
      <c r="S285" s="296"/>
      <c r="T285" s="3">
        <v>16</v>
      </c>
      <c r="U285" s="293"/>
    </row>
    <row r="286" spans="1:21" ht="30" customHeight="1" x14ac:dyDescent="0.35">
      <c r="A286" s="218" t="s">
        <v>2579</v>
      </c>
      <c r="B286" s="254">
        <v>267</v>
      </c>
      <c r="C286" s="58">
        <v>10136527</v>
      </c>
      <c r="D286" s="21" t="s">
        <v>358</v>
      </c>
      <c r="E286" s="18" t="s">
        <v>4085</v>
      </c>
      <c r="F286" s="22">
        <v>2</v>
      </c>
      <c r="G286" s="3" t="s">
        <v>0</v>
      </c>
      <c r="H286" s="33">
        <v>42004</v>
      </c>
      <c r="I286" s="4" t="s">
        <v>999</v>
      </c>
      <c r="J286" s="4" t="s">
        <v>1962</v>
      </c>
      <c r="K286" s="4" t="s">
        <v>988</v>
      </c>
      <c r="L286" s="5" t="s">
        <v>871</v>
      </c>
      <c r="M286" s="72">
        <f t="shared" si="54"/>
        <v>13582.88</v>
      </c>
      <c r="N286" s="72">
        <f t="shared" si="57"/>
        <v>6791.44</v>
      </c>
      <c r="O286" s="72">
        <v>13582.88</v>
      </c>
      <c r="P286" s="72">
        <v>9690</v>
      </c>
      <c r="Q286" s="256">
        <f t="shared" si="58"/>
        <v>2131.8000000000002</v>
      </c>
      <c r="R286" s="256">
        <f t="shared" si="59"/>
        <v>11821.8</v>
      </c>
      <c r="S286" s="296"/>
      <c r="T286" s="3">
        <v>16</v>
      </c>
      <c r="U286" s="293"/>
    </row>
    <row r="287" spans="1:21" ht="30" customHeight="1" x14ac:dyDescent="0.35">
      <c r="A287" s="218" t="s">
        <v>2580</v>
      </c>
      <c r="B287" s="3">
        <v>268</v>
      </c>
      <c r="C287" s="44">
        <v>10111002</v>
      </c>
      <c r="D287" s="18" t="s">
        <v>1296</v>
      </c>
      <c r="E287" s="18" t="s">
        <v>2212</v>
      </c>
      <c r="F287" s="12">
        <v>1</v>
      </c>
      <c r="G287" s="3" t="s">
        <v>0</v>
      </c>
      <c r="H287" s="3">
        <v>2014</v>
      </c>
      <c r="I287" s="5" t="s">
        <v>2209</v>
      </c>
      <c r="J287" s="4" t="s">
        <v>1962</v>
      </c>
      <c r="K287" s="49" t="s">
        <v>988</v>
      </c>
      <c r="L287" s="6" t="s">
        <v>871</v>
      </c>
      <c r="M287" s="81">
        <f t="shared" si="54"/>
        <v>25</v>
      </c>
      <c r="N287" s="81">
        <f t="shared" si="57"/>
        <v>25</v>
      </c>
      <c r="O287" s="81">
        <v>25</v>
      </c>
      <c r="P287" s="72">
        <v>20</v>
      </c>
      <c r="Q287" s="256">
        <f t="shared" si="58"/>
        <v>4.4000000000000004</v>
      </c>
      <c r="R287" s="256">
        <f t="shared" si="59"/>
        <v>24.4</v>
      </c>
      <c r="S287" s="296"/>
      <c r="T287" s="3">
        <v>16</v>
      </c>
      <c r="U287" s="293"/>
    </row>
    <row r="288" spans="1:21" ht="30" customHeight="1" x14ac:dyDescent="0.35">
      <c r="A288" s="218" t="s">
        <v>2581</v>
      </c>
      <c r="B288" s="3">
        <v>269</v>
      </c>
      <c r="C288" s="44">
        <v>10046298</v>
      </c>
      <c r="D288" s="18" t="s">
        <v>249</v>
      </c>
      <c r="E288" s="18" t="s">
        <v>2208</v>
      </c>
      <c r="F288" s="12">
        <v>5</v>
      </c>
      <c r="G288" s="3" t="s">
        <v>0</v>
      </c>
      <c r="H288" s="5">
        <v>42064</v>
      </c>
      <c r="I288" s="3" t="s">
        <v>2144</v>
      </c>
      <c r="J288" s="4" t="s">
        <v>1962</v>
      </c>
      <c r="K288" s="4" t="s">
        <v>988</v>
      </c>
      <c r="L288" s="3" t="s">
        <v>871</v>
      </c>
      <c r="M288" s="72">
        <f t="shared" si="54"/>
        <v>8580</v>
      </c>
      <c r="N288" s="72">
        <f t="shared" si="57"/>
        <v>1716</v>
      </c>
      <c r="O288" s="72">
        <v>8580</v>
      </c>
      <c r="P288" s="72">
        <v>5690</v>
      </c>
      <c r="Q288" s="256">
        <f t="shared" si="58"/>
        <v>1251.8</v>
      </c>
      <c r="R288" s="256">
        <f t="shared" si="59"/>
        <v>6941.8</v>
      </c>
      <c r="S288" s="296"/>
      <c r="T288" s="3">
        <v>16</v>
      </c>
      <c r="U288" s="293"/>
    </row>
    <row r="289" spans="1:21" ht="46.5" customHeight="1" x14ac:dyDescent="0.35">
      <c r="A289" s="218" t="s">
        <v>2582</v>
      </c>
      <c r="B289" s="254">
        <v>270</v>
      </c>
      <c r="C289" s="44">
        <v>10143828</v>
      </c>
      <c r="D289" s="18" t="s">
        <v>91</v>
      </c>
      <c r="E289" s="18" t="s">
        <v>2228</v>
      </c>
      <c r="F289" s="12">
        <v>17</v>
      </c>
      <c r="G289" s="3" t="s">
        <v>0</v>
      </c>
      <c r="H289" s="5">
        <v>42004</v>
      </c>
      <c r="I289" s="27" t="s">
        <v>984</v>
      </c>
      <c r="J289" s="5" t="s">
        <v>1962</v>
      </c>
      <c r="K289" s="5" t="s">
        <v>2032</v>
      </c>
      <c r="L289" s="29" t="s">
        <v>2143</v>
      </c>
      <c r="M289" s="78">
        <f t="shared" si="54"/>
        <v>56967</v>
      </c>
      <c r="N289" s="78">
        <f t="shared" si="57"/>
        <v>3351</v>
      </c>
      <c r="O289" s="78">
        <v>56967</v>
      </c>
      <c r="P289" s="72">
        <v>40590</v>
      </c>
      <c r="Q289" s="256">
        <f t="shared" si="58"/>
        <v>8929.7999999999993</v>
      </c>
      <c r="R289" s="256">
        <f t="shared" si="59"/>
        <v>49519.8</v>
      </c>
      <c r="S289" s="296"/>
      <c r="T289" s="3">
        <v>16</v>
      </c>
      <c r="U289" s="293"/>
    </row>
    <row r="290" spans="1:21" ht="30" customHeight="1" x14ac:dyDescent="0.35">
      <c r="A290" s="218" t="s">
        <v>2583</v>
      </c>
      <c r="B290" s="3">
        <v>271</v>
      </c>
      <c r="C290" s="44">
        <v>10018390</v>
      </c>
      <c r="D290" s="18" t="s">
        <v>39</v>
      </c>
      <c r="E290" s="18" t="s">
        <v>2228</v>
      </c>
      <c r="F290" s="12">
        <v>2</v>
      </c>
      <c r="G290" s="3" t="s">
        <v>0</v>
      </c>
      <c r="H290" s="5">
        <v>42247</v>
      </c>
      <c r="I290" s="27" t="s">
        <v>984</v>
      </c>
      <c r="J290" s="5" t="s">
        <v>1962</v>
      </c>
      <c r="K290" s="5" t="s">
        <v>2038</v>
      </c>
      <c r="L290" s="6" t="s">
        <v>871</v>
      </c>
      <c r="M290" s="72">
        <f t="shared" si="54"/>
        <v>58</v>
      </c>
      <c r="N290" s="72">
        <f t="shared" si="57"/>
        <v>29</v>
      </c>
      <c r="O290" s="72">
        <v>58</v>
      </c>
      <c r="P290" s="72">
        <v>40</v>
      </c>
      <c r="Q290" s="256">
        <f t="shared" si="58"/>
        <v>8.8000000000000007</v>
      </c>
      <c r="R290" s="256">
        <f t="shared" si="59"/>
        <v>48.8</v>
      </c>
      <c r="S290" s="296"/>
      <c r="T290" s="3">
        <v>16</v>
      </c>
      <c r="U290" s="293"/>
    </row>
    <row r="291" spans="1:21" ht="30" customHeight="1" x14ac:dyDescent="0.35">
      <c r="A291" s="218" t="s">
        <v>4102</v>
      </c>
      <c r="B291" s="3">
        <v>272</v>
      </c>
      <c r="C291" s="44">
        <v>10119988</v>
      </c>
      <c r="D291" s="18" t="s">
        <v>45</v>
      </c>
      <c r="E291" s="18" t="s">
        <v>2219</v>
      </c>
      <c r="F291" s="12">
        <f>2+3</f>
        <v>5</v>
      </c>
      <c r="G291" s="3" t="s">
        <v>0</v>
      </c>
      <c r="H291" s="5">
        <v>42247</v>
      </c>
      <c r="I291" s="27" t="s">
        <v>984</v>
      </c>
      <c r="J291" s="5" t="s">
        <v>1962</v>
      </c>
      <c r="K291" s="5" t="s">
        <v>2040</v>
      </c>
      <c r="L291" s="6" t="s">
        <v>871</v>
      </c>
      <c r="M291" s="72">
        <f t="shared" si="54"/>
        <v>248.11</v>
      </c>
      <c r="N291" s="72">
        <f t="shared" si="57"/>
        <v>49.62</v>
      </c>
      <c r="O291" s="72">
        <v>248.11</v>
      </c>
      <c r="P291" s="72">
        <v>160</v>
      </c>
      <c r="Q291" s="256">
        <f t="shared" si="58"/>
        <v>35.200000000000003</v>
      </c>
      <c r="R291" s="256">
        <f t="shared" si="59"/>
        <v>195.2</v>
      </c>
      <c r="S291" s="296"/>
      <c r="T291" s="3">
        <v>16</v>
      </c>
      <c r="U291" s="293"/>
    </row>
    <row r="292" spans="1:21" ht="30" customHeight="1" x14ac:dyDescent="0.35">
      <c r="A292" s="218" t="s">
        <v>2584</v>
      </c>
      <c r="B292" s="254">
        <v>273</v>
      </c>
      <c r="C292" s="44">
        <v>10025755</v>
      </c>
      <c r="D292" s="18" t="s">
        <v>54</v>
      </c>
      <c r="E292" s="18" t="s">
        <v>2228</v>
      </c>
      <c r="F292" s="12">
        <v>3</v>
      </c>
      <c r="G292" s="3" t="s">
        <v>0</v>
      </c>
      <c r="H292" s="5">
        <v>42004</v>
      </c>
      <c r="I292" s="27" t="s">
        <v>984</v>
      </c>
      <c r="J292" s="5" t="s">
        <v>1962</v>
      </c>
      <c r="K292" s="5" t="s">
        <v>2041</v>
      </c>
      <c r="L292" s="6" t="s">
        <v>871</v>
      </c>
      <c r="M292" s="72">
        <f t="shared" si="54"/>
        <v>235.4</v>
      </c>
      <c r="N292" s="72">
        <f t="shared" si="57"/>
        <v>78.47</v>
      </c>
      <c r="O292" s="72">
        <v>235.4</v>
      </c>
      <c r="P292" s="72">
        <v>170</v>
      </c>
      <c r="Q292" s="256">
        <f t="shared" si="58"/>
        <v>37.4</v>
      </c>
      <c r="R292" s="256">
        <f t="shared" si="59"/>
        <v>207.4</v>
      </c>
      <c r="S292" s="296"/>
      <c r="T292" s="3">
        <v>16</v>
      </c>
      <c r="U292" s="293"/>
    </row>
    <row r="293" spans="1:21" ht="30" customHeight="1" x14ac:dyDescent="0.35">
      <c r="A293" s="218" t="s">
        <v>2585</v>
      </c>
      <c r="B293" s="3">
        <v>274</v>
      </c>
      <c r="C293" s="44">
        <v>10007384</v>
      </c>
      <c r="D293" s="18" t="s">
        <v>61</v>
      </c>
      <c r="E293" s="18" t="s">
        <v>2228</v>
      </c>
      <c r="F293" s="12">
        <f>4-1</f>
        <v>3</v>
      </c>
      <c r="G293" s="3" t="s">
        <v>0</v>
      </c>
      <c r="H293" s="5">
        <v>42247</v>
      </c>
      <c r="I293" s="27" t="s">
        <v>984</v>
      </c>
      <c r="J293" s="5" t="s">
        <v>1962</v>
      </c>
      <c r="K293" s="5" t="s">
        <v>2042</v>
      </c>
      <c r="L293" s="6" t="s">
        <v>871</v>
      </c>
      <c r="M293" s="72">
        <f t="shared" si="54"/>
        <v>105.75</v>
      </c>
      <c r="N293" s="72">
        <f t="shared" si="57"/>
        <v>35.25</v>
      </c>
      <c r="O293" s="72">
        <f>141/4*3</f>
        <v>105.75</v>
      </c>
      <c r="P293" s="72">
        <v>70</v>
      </c>
      <c r="Q293" s="256">
        <f t="shared" si="58"/>
        <v>15.4</v>
      </c>
      <c r="R293" s="256">
        <f t="shared" si="59"/>
        <v>85.4</v>
      </c>
      <c r="S293" s="296"/>
      <c r="T293" s="3">
        <v>16</v>
      </c>
      <c r="U293" s="293"/>
    </row>
    <row r="294" spans="1:21" ht="15" customHeight="1" x14ac:dyDescent="0.35">
      <c r="A294" s="218" t="s">
        <v>2586</v>
      </c>
      <c r="B294" s="3">
        <v>275</v>
      </c>
      <c r="C294" s="44">
        <v>10007423</v>
      </c>
      <c r="D294" s="18" t="s">
        <v>62</v>
      </c>
      <c r="E294" s="18" t="s">
        <v>2228</v>
      </c>
      <c r="F294" s="12">
        <f>4-2</f>
        <v>2</v>
      </c>
      <c r="G294" s="3" t="s">
        <v>0</v>
      </c>
      <c r="H294" s="5">
        <v>42247</v>
      </c>
      <c r="I294" s="27" t="s">
        <v>984</v>
      </c>
      <c r="J294" s="5" t="s">
        <v>1962</v>
      </c>
      <c r="K294" s="5" t="s">
        <v>2043</v>
      </c>
      <c r="L294" s="6" t="s">
        <v>871</v>
      </c>
      <c r="M294" s="72">
        <f t="shared" si="54"/>
        <v>153.94999999999999</v>
      </c>
      <c r="N294" s="72">
        <f t="shared" si="57"/>
        <v>76.98</v>
      </c>
      <c r="O294" s="72">
        <f>307.9/4*2</f>
        <v>153.94999999999999</v>
      </c>
      <c r="P294" s="72">
        <v>100</v>
      </c>
      <c r="Q294" s="256">
        <f t="shared" si="58"/>
        <v>22</v>
      </c>
      <c r="R294" s="256">
        <f t="shared" si="59"/>
        <v>122</v>
      </c>
      <c r="S294" s="296"/>
      <c r="T294" s="3">
        <v>16</v>
      </c>
      <c r="U294" s="293"/>
    </row>
    <row r="295" spans="1:21" ht="15" customHeight="1" x14ac:dyDescent="0.35">
      <c r="A295" s="218" t="s">
        <v>2587</v>
      </c>
      <c r="B295" s="254">
        <v>276</v>
      </c>
      <c r="C295" s="44">
        <v>10107118</v>
      </c>
      <c r="D295" s="18" t="s">
        <v>65</v>
      </c>
      <c r="E295" s="18" t="s">
        <v>2228</v>
      </c>
      <c r="F295" s="12">
        <v>4</v>
      </c>
      <c r="G295" s="3" t="s">
        <v>0</v>
      </c>
      <c r="H295" s="5">
        <v>42004</v>
      </c>
      <c r="I295" s="27" t="s">
        <v>984</v>
      </c>
      <c r="J295" s="5" t="s">
        <v>1962</v>
      </c>
      <c r="K295" s="5" t="s">
        <v>2044</v>
      </c>
      <c r="L295" s="6" t="s">
        <v>871</v>
      </c>
      <c r="M295" s="72">
        <f t="shared" si="54"/>
        <v>176</v>
      </c>
      <c r="N295" s="72">
        <f t="shared" si="57"/>
        <v>44</v>
      </c>
      <c r="O295" s="72">
        <v>176</v>
      </c>
      <c r="P295" s="72">
        <v>130</v>
      </c>
      <c r="Q295" s="256">
        <f t="shared" si="58"/>
        <v>28.6</v>
      </c>
      <c r="R295" s="256">
        <f t="shared" si="59"/>
        <v>158.6</v>
      </c>
      <c r="S295" s="296"/>
      <c r="T295" s="3">
        <v>16</v>
      </c>
      <c r="U295" s="293"/>
    </row>
    <row r="296" spans="1:21" ht="30" customHeight="1" x14ac:dyDescent="0.35">
      <c r="A296" s="218" t="s">
        <v>2588</v>
      </c>
      <c r="B296" s="3">
        <v>277</v>
      </c>
      <c r="C296" s="44">
        <v>10022325</v>
      </c>
      <c r="D296" s="18" t="s">
        <v>88</v>
      </c>
      <c r="E296" s="18" t="s">
        <v>2228</v>
      </c>
      <c r="F296" s="12">
        <v>15</v>
      </c>
      <c r="G296" s="3" t="s">
        <v>0</v>
      </c>
      <c r="H296" s="5">
        <v>41857</v>
      </c>
      <c r="I296" s="27" t="s">
        <v>984</v>
      </c>
      <c r="J296" s="5" t="s">
        <v>1962</v>
      </c>
      <c r="K296" s="5" t="s">
        <v>2045</v>
      </c>
      <c r="L296" s="6" t="s">
        <v>871</v>
      </c>
      <c r="M296" s="72">
        <f t="shared" si="54"/>
        <v>510</v>
      </c>
      <c r="N296" s="72">
        <f t="shared" si="57"/>
        <v>34</v>
      </c>
      <c r="O296" s="72">
        <v>510</v>
      </c>
      <c r="P296" s="72">
        <v>360</v>
      </c>
      <c r="Q296" s="256">
        <f t="shared" si="58"/>
        <v>79.2</v>
      </c>
      <c r="R296" s="256">
        <f t="shared" si="59"/>
        <v>439.2</v>
      </c>
      <c r="S296" s="296"/>
      <c r="T296" s="3">
        <v>16</v>
      </c>
      <c r="U296" s="293"/>
    </row>
    <row r="297" spans="1:21" ht="30" customHeight="1" x14ac:dyDescent="0.35">
      <c r="A297" s="218" t="s">
        <v>2589</v>
      </c>
      <c r="B297" s="3">
        <v>278</v>
      </c>
      <c r="C297" s="44">
        <v>10147310</v>
      </c>
      <c r="D297" s="18" t="s">
        <v>89</v>
      </c>
      <c r="E297" s="18" t="s">
        <v>2228</v>
      </c>
      <c r="F297" s="12">
        <v>15</v>
      </c>
      <c r="G297" s="3" t="s">
        <v>0</v>
      </c>
      <c r="H297" s="5">
        <v>41857</v>
      </c>
      <c r="I297" s="27" t="s">
        <v>984</v>
      </c>
      <c r="J297" s="5" t="s">
        <v>1962</v>
      </c>
      <c r="K297" s="5" t="s">
        <v>2046</v>
      </c>
      <c r="L297" s="6" t="s">
        <v>871</v>
      </c>
      <c r="M297" s="72">
        <f t="shared" si="54"/>
        <v>570</v>
      </c>
      <c r="N297" s="72">
        <f t="shared" si="57"/>
        <v>38</v>
      </c>
      <c r="O297" s="72">
        <v>570</v>
      </c>
      <c r="P297" s="72">
        <v>400</v>
      </c>
      <c r="Q297" s="256">
        <f t="shared" si="58"/>
        <v>88</v>
      </c>
      <c r="R297" s="256">
        <f t="shared" si="59"/>
        <v>488</v>
      </c>
      <c r="S297" s="296"/>
      <c r="T297" s="3">
        <v>16</v>
      </c>
      <c r="U297" s="293"/>
    </row>
    <row r="298" spans="1:21" ht="15" customHeight="1" x14ac:dyDescent="0.35">
      <c r="A298" s="218" t="s">
        <v>2590</v>
      </c>
      <c r="B298" s="254">
        <v>279</v>
      </c>
      <c r="C298" s="44">
        <v>10001547</v>
      </c>
      <c r="D298" s="18" t="s">
        <v>135</v>
      </c>
      <c r="E298" s="18" t="s">
        <v>2219</v>
      </c>
      <c r="F298" s="12">
        <f>383-78</f>
        <v>305</v>
      </c>
      <c r="G298" s="3" t="s">
        <v>0</v>
      </c>
      <c r="H298" s="5">
        <v>42255</v>
      </c>
      <c r="I298" s="5" t="s">
        <v>984</v>
      </c>
      <c r="J298" s="6" t="s">
        <v>1962</v>
      </c>
      <c r="K298" s="5" t="s">
        <v>2047</v>
      </c>
      <c r="L298" s="6" t="s">
        <v>871</v>
      </c>
      <c r="M298" s="72">
        <f t="shared" ref="M298:M336" si="60">O298</f>
        <v>9711.2000000000007</v>
      </c>
      <c r="N298" s="72">
        <f t="shared" si="57"/>
        <v>31.84</v>
      </c>
      <c r="O298" s="72">
        <f>12194.72/383*305</f>
        <v>9711.2000000000007</v>
      </c>
      <c r="P298" s="72">
        <v>6300</v>
      </c>
      <c r="Q298" s="256">
        <f t="shared" si="58"/>
        <v>1386</v>
      </c>
      <c r="R298" s="256">
        <f t="shared" si="59"/>
        <v>7686</v>
      </c>
      <c r="S298" s="296"/>
      <c r="T298" s="3">
        <v>16</v>
      </c>
      <c r="U298" s="293"/>
    </row>
    <row r="299" spans="1:21" ht="15" customHeight="1" x14ac:dyDescent="0.35">
      <c r="A299" s="218" t="s">
        <v>2591</v>
      </c>
      <c r="B299" s="3">
        <v>280</v>
      </c>
      <c r="C299" s="44">
        <v>10001551</v>
      </c>
      <c r="D299" s="18" t="s">
        <v>137</v>
      </c>
      <c r="E299" s="18" t="s">
        <v>2219</v>
      </c>
      <c r="F299" s="12">
        <f>670-10-10</f>
        <v>650</v>
      </c>
      <c r="G299" s="3" t="s">
        <v>0</v>
      </c>
      <c r="H299" s="5">
        <v>42247</v>
      </c>
      <c r="I299" s="5" t="s">
        <v>984</v>
      </c>
      <c r="J299" s="6" t="s">
        <v>1962</v>
      </c>
      <c r="K299" s="5" t="s">
        <v>2049</v>
      </c>
      <c r="L299" s="6" t="s">
        <v>871</v>
      </c>
      <c r="M299" s="72">
        <f t="shared" si="60"/>
        <v>57876</v>
      </c>
      <c r="N299" s="72">
        <f t="shared" si="57"/>
        <v>89.04</v>
      </c>
      <c r="O299" s="72">
        <f>59656.8/670*650</f>
        <v>57876</v>
      </c>
      <c r="P299" s="72">
        <v>37750</v>
      </c>
      <c r="Q299" s="256">
        <f t="shared" si="58"/>
        <v>8305</v>
      </c>
      <c r="R299" s="256">
        <f t="shared" si="59"/>
        <v>46055</v>
      </c>
      <c r="S299" s="296"/>
      <c r="T299" s="3">
        <v>16</v>
      </c>
      <c r="U299" s="293"/>
    </row>
    <row r="300" spans="1:21" ht="21.75" customHeight="1" x14ac:dyDescent="0.35">
      <c r="A300" s="218" t="s">
        <v>2592</v>
      </c>
      <c r="B300" s="3">
        <v>281</v>
      </c>
      <c r="C300" s="44">
        <v>10001341</v>
      </c>
      <c r="D300" s="18" t="s">
        <v>529</v>
      </c>
      <c r="E300" s="18" t="s">
        <v>2219</v>
      </c>
      <c r="F300" s="12">
        <f>943-340-210-385</f>
        <v>8</v>
      </c>
      <c r="G300" s="3" t="s">
        <v>0</v>
      </c>
      <c r="H300" s="5">
        <v>42247</v>
      </c>
      <c r="I300" s="27" t="s">
        <v>984</v>
      </c>
      <c r="J300" s="6" t="s">
        <v>2255</v>
      </c>
      <c r="K300" s="63" t="s">
        <v>988</v>
      </c>
      <c r="L300" s="6" t="s">
        <v>871</v>
      </c>
      <c r="M300" s="81">
        <f t="shared" si="60"/>
        <v>110.4</v>
      </c>
      <c r="N300" s="81">
        <f t="shared" si="57"/>
        <v>13.8</v>
      </c>
      <c r="O300" s="81">
        <f>13013.4/943*8</f>
        <v>110.4</v>
      </c>
      <c r="P300" s="72">
        <v>70</v>
      </c>
      <c r="Q300" s="256">
        <f t="shared" si="58"/>
        <v>15.4</v>
      </c>
      <c r="R300" s="256">
        <f t="shared" si="59"/>
        <v>85.4</v>
      </c>
      <c r="S300" s="296"/>
      <c r="T300" s="3">
        <v>16</v>
      </c>
      <c r="U300" s="293"/>
    </row>
    <row r="301" spans="1:21" ht="15" customHeight="1" x14ac:dyDescent="0.35">
      <c r="A301" s="218" t="s">
        <v>2593</v>
      </c>
      <c r="B301" s="254">
        <v>282</v>
      </c>
      <c r="C301" s="44">
        <v>10134994</v>
      </c>
      <c r="D301" s="18" t="s">
        <v>2</v>
      </c>
      <c r="E301" s="18" t="s">
        <v>2228</v>
      </c>
      <c r="F301" s="12">
        <v>1E-3</v>
      </c>
      <c r="G301" s="3" t="s">
        <v>3</v>
      </c>
      <c r="H301" s="49">
        <v>2014</v>
      </c>
      <c r="I301" s="27" t="s">
        <v>984</v>
      </c>
      <c r="J301" s="5" t="s">
        <v>1962</v>
      </c>
      <c r="K301" s="49" t="s">
        <v>2103</v>
      </c>
      <c r="L301" s="6" t="s">
        <v>871</v>
      </c>
      <c r="M301" s="72">
        <f t="shared" si="60"/>
        <v>71.78</v>
      </c>
      <c r="N301" s="72">
        <f t="shared" si="57"/>
        <v>71780</v>
      </c>
      <c r="O301" s="72">
        <v>71.78</v>
      </c>
      <c r="P301" s="72">
        <v>50</v>
      </c>
      <c r="Q301" s="256">
        <f t="shared" si="58"/>
        <v>11</v>
      </c>
      <c r="R301" s="256">
        <f t="shared" si="59"/>
        <v>61</v>
      </c>
      <c r="S301" s="296"/>
      <c r="T301" s="3">
        <v>16</v>
      </c>
      <c r="U301" s="293"/>
    </row>
    <row r="302" spans="1:21" ht="22.5" customHeight="1" x14ac:dyDescent="0.35">
      <c r="A302" s="218" t="s">
        <v>2594</v>
      </c>
      <c r="B302" s="3">
        <v>283</v>
      </c>
      <c r="C302" s="44">
        <v>10137451</v>
      </c>
      <c r="D302" s="18" t="s">
        <v>4</v>
      </c>
      <c r="E302" s="18" t="s">
        <v>2228</v>
      </c>
      <c r="F302" s="12">
        <v>3.0000000000000001E-3</v>
      </c>
      <c r="G302" s="3" t="s">
        <v>3</v>
      </c>
      <c r="H302" s="49">
        <v>2014</v>
      </c>
      <c r="I302" s="27" t="s">
        <v>984</v>
      </c>
      <c r="J302" s="5" t="s">
        <v>1962</v>
      </c>
      <c r="K302" s="49" t="s">
        <v>2104</v>
      </c>
      <c r="L302" s="6" t="s">
        <v>871</v>
      </c>
      <c r="M302" s="72">
        <f t="shared" si="60"/>
        <v>131.49</v>
      </c>
      <c r="N302" s="72">
        <f t="shared" si="57"/>
        <v>43830</v>
      </c>
      <c r="O302" s="72">
        <v>131.49</v>
      </c>
      <c r="P302" s="72">
        <v>90</v>
      </c>
      <c r="Q302" s="256">
        <f t="shared" si="58"/>
        <v>19.8</v>
      </c>
      <c r="R302" s="256">
        <f t="shared" si="59"/>
        <v>109.8</v>
      </c>
      <c r="S302" s="296"/>
      <c r="T302" s="3">
        <v>16</v>
      </c>
      <c r="U302" s="293"/>
    </row>
    <row r="303" spans="1:21" ht="15" customHeight="1" x14ac:dyDescent="0.35">
      <c r="A303" s="218" t="s">
        <v>2595</v>
      </c>
      <c r="B303" s="3">
        <v>284</v>
      </c>
      <c r="C303" s="44">
        <v>10148947</v>
      </c>
      <c r="D303" s="18" t="s">
        <v>5</v>
      </c>
      <c r="E303" s="18" t="s">
        <v>2228</v>
      </c>
      <c r="F303" s="12">
        <f>0.044-0.022</f>
        <v>2.1999999999999999E-2</v>
      </c>
      <c r="G303" s="3" t="s">
        <v>3</v>
      </c>
      <c r="H303" s="49">
        <v>2014</v>
      </c>
      <c r="I303" s="27" t="s">
        <v>984</v>
      </c>
      <c r="J303" s="5" t="s">
        <v>1962</v>
      </c>
      <c r="K303" s="49" t="s">
        <v>2105</v>
      </c>
      <c r="L303" s="6" t="s">
        <v>871</v>
      </c>
      <c r="M303" s="72">
        <f t="shared" si="60"/>
        <v>1176.53</v>
      </c>
      <c r="N303" s="72">
        <f t="shared" si="57"/>
        <v>53478.64</v>
      </c>
      <c r="O303" s="72">
        <f>2353.06/0.044*0.022</f>
        <v>1176.53</v>
      </c>
      <c r="P303" s="72">
        <v>840</v>
      </c>
      <c r="Q303" s="256">
        <f t="shared" si="58"/>
        <v>184.8</v>
      </c>
      <c r="R303" s="256">
        <f t="shared" si="59"/>
        <v>1024.8</v>
      </c>
      <c r="S303" s="296"/>
      <c r="T303" s="3">
        <v>16</v>
      </c>
      <c r="U303" s="293"/>
    </row>
    <row r="304" spans="1:21" ht="15" customHeight="1" x14ac:dyDescent="0.35">
      <c r="A304" s="218" t="s">
        <v>2596</v>
      </c>
      <c r="B304" s="254">
        <v>285</v>
      </c>
      <c r="C304" s="44">
        <v>10005315</v>
      </c>
      <c r="D304" s="18" t="s">
        <v>6</v>
      </c>
      <c r="E304" s="18" t="s">
        <v>2228</v>
      </c>
      <c r="F304" s="12">
        <v>0.11899999999999999</v>
      </c>
      <c r="G304" s="3" t="s">
        <v>3</v>
      </c>
      <c r="H304" s="49">
        <v>2014</v>
      </c>
      <c r="I304" s="27" t="s">
        <v>984</v>
      </c>
      <c r="J304" s="5" t="s">
        <v>1962</v>
      </c>
      <c r="K304" s="49" t="s">
        <v>2106</v>
      </c>
      <c r="L304" s="6" t="s">
        <v>871</v>
      </c>
      <c r="M304" s="72">
        <f t="shared" si="60"/>
        <v>5178.28</v>
      </c>
      <c r="N304" s="72">
        <f t="shared" ref="N304:N326" si="61">O304/F304</f>
        <v>43514.96</v>
      </c>
      <c r="O304" s="72">
        <v>5178.28</v>
      </c>
      <c r="P304" s="72">
        <v>3680</v>
      </c>
      <c r="Q304" s="256">
        <f t="shared" si="58"/>
        <v>809.6</v>
      </c>
      <c r="R304" s="256">
        <f t="shared" si="59"/>
        <v>4489.6000000000004</v>
      </c>
      <c r="S304" s="296"/>
      <c r="T304" s="3">
        <v>16</v>
      </c>
      <c r="U304" s="293"/>
    </row>
    <row r="305" spans="1:21" ht="34.5" customHeight="1" x14ac:dyDescent="0.35">
      <c r="A305" s="218" t="s">
        <v>2597</v>
      </c>
      <c r="B305" s="3">
        <v>286</v>
      </c>
      <c r="C305" s="44">
        <v>10005309</v>
      </c>
      <c r="D305" s="18" t="s">
        <v>7</v>
      </c>
      <c r="E305" s="18" t="s">
        <v>2228</v>
      </c>
      <c r="F305" s="12">
        <f>0.13-0.015-0.032</f>
        <v>8.3000000000000004E-2</v>
      </c>
      <c r="G305" s="3" t="s">
        <v>3</v>
      </c>
      <c r="H305" s="49">
        <v>2014</v>
      </c>
      <c r="I305" s="27" t="s">
        <v>984</v>
      </c>
      <c r="J305" s="5" t="s">
        <v>1962</v>
      </c>
      <c r="K305" s="49" t="s">
        <v>2107</v>
      </c>
      <c r="L305" s="6" t="s">
        <v>871</v>
      </c>
      <c r="M305" s="72">
        <f t="shared" si="60"/>
        <v>3657.93</v>
      </c>
      <c r="N305" s="72">
        <f t="shared" si="61"/>
        <v>44071.45</v>
      </c>
      <c r="O305" s="72">
        <v>3657.93</v>
      </c>
      <c r="P305" s="72">
        <v>2600</v>
      </c>
      <c r="Q305" s="256">
        <f t="shared" si="58"/>
        <v>572</v>
      </c>
      <c r="R305" s="256">
        <f t="shared" si="59"/>
        <v>3172</v>
      </c>
      <c r="S305" s="296"/>
      <c r="T305" s="3">
        <v>16</v>
      </c>
      <c r="U305" s="293"/>
    </row>
    <row r="306" spans="1:21" ht="43.5" customHeight="1" x14ac:dyDescent="0.35">
      <c r="A306" s="218" t="s">
        <v>2598</v>
      </c>
      <c r="B306" s="3">
        <v>287</v>
      </c>
      <c r="C306" s="44">
        <v>10018369</v>
      </c>
      <c r="D306" s="18" t="s">
        <v>14</v>
      </c>
      <c r="E306" s="18" t="s">
        <v>2228</v>
      </c>
      <c r="F306" s="12">
        <v>1</v>
      </c>
      <c r="G306" s="3" t="s">
        <v>0</v>
      </c>
      <c r="H306" s="49">
        <v>2014</v>
      </c>
      <c r="I306" s="27" t="s">
        <v>984</v>
      </c>
      <c r="J306" s="5" t="s">
        <v>1962</v>
      </c>
      <c r="K306" s="49" t="s">
        <v>2110</v>
      </c>
      <c r="L306" s="6" t="s">
        <v>871</v>
      </c>
      <c r="M306" s="72">
        <f t="shared" si="60"/>
        <v>139</v>
      </c>
      <c r="N306" s="72">
        <f t="shared" si="61"/>
        <v>139</v>
      </c>
      <c r="O306" s="72">
        <v>139</v>
      </c>
      <c r="P306" s="72">
        <v>100</v>
      </c>
      <c r="Q306" s="256">
        <f t="shared" si="58"/>
        <v>22</v>
      </c>
      <c r="R306" s="256">
        <f t="shared" si="59"/>
        <v>122</v>
      </c>
      <c r="S306" s="296"/>
      <c r="T306" s="3">
        <v>16</v>
      </c>
      <c r="U306" s="293"/>
    </row>
    <row r="307" spans="1:21" ht="43.5" customHeight="1" x14ac:dyDescent="0.35">
      <c r="A307" s="218" t="s">
        <v>2599</v>
      </c>
      <c r="B307" s="254">
        <v>288</v>
      </c>
      <c r="C307" s="44">
        <v>10098269</v>
      </c>
      <c r="D307" s="18" t="s">
        <v>42</v>
      </c>
      <c r="E307" s="18" t="s">
        <v>2228</v>
      </c>
      <c r="F307" s="12">
        <v>2</v>
      </c>
      <c r="G307" s="3" t="s">
        <v>0</v>
      </c>
      <c r="H307" s="49">
        <v>2014</v>
      </c>
      <c r="I307" s="27" t="s">
        <v>984</v>
      </c>
      <c r="J307" s="5" t="s">
        <v>1962</v>
      </c>
      <c r="K307" s="49" t="s">
        <v>2112</v>
      </c>
      <c r="L307" s="6" t="s">
        <v>871</v>
      </c>
      <c r="M307" s="72">
        <f t="shared" si="60"/>
        <v>71.400000000000006</v>
      </c>
      <c r="N307" s="72">
        <f t="shared" si="61"/>
        <v>35.700000000000003</v>
      </c>
      <c r="O307" s="72">
        <v>71.400000000000006</v>
      </c>
      <c r="P307" s="72">
        <v>50</v>
      </c>
      <c r="Q307" s="256">
        <f t="shared" ref="Q307:Q327" si="62">R307-P307</f>
        <v>11</v>
      </c>
      <c r="R307" s="256">
        <f t="shared" ref="R307:R327" si="63">P307*1.22</f>
        <v>61</v>
      </c>
      <c r="S307" s="296"/>
      <c r="T307" s="3">
        <v>16</v>
      </c>
      <c r="U307" s="293"/>
    </row>
    <row r="308" spans="1:21" ht="43.5" customHeight="1" x14ac:dyDescent="0.35">
      <c r="A308" s="218" t="s">
        <v>2600</v>
      </c>
      <c r="B308" s="3">
        <v>289</v>
      </c>
      <c r="C308" s="44">
        <v>10149756</v>
      </c>
      <c r="D308" s="18" t="s">
        <v>49</v>
      </c>
      <c r="E308" s="18" t="s">
        <v>2228</v>
      </c>
      <c r="F308" s="12">
        <v>2</v>
      </c>
      <c r="G308" s="3" t="s">
        <v>0</v>
      </c>
      <c r="H308" s="49">
        <v>2014</v>
      </c>
      <c r="I308" s="27" t="s">
        <v>984</v>
      </c>
      <c r="J308" s="5" t="s">
        <v>1962</v>
      </c>
      <c r="K308" s="49" t="s">
        <v>2114</v>
      </c>
      <c r="L308" s="6" t="s">
        <v>871</v>
      </c>
      <c r="M308" s="72">
        <f t="shared" si="60"/>
        <v>6738.72</v>
      </c>
      <c r="N308" s="72">
        <f t="shared" si="61"/>
        <v>3369.36</v>
      </c>
      <c r="O308" s="72">
        <v>6738.72</v>
      </c>
      <c r="P308" s="72">
        <v>4790</v>
      </c>
      <c r="Q308" s="256">
        <f t="shared" si="62"/>
        <v>1053.8</v>
      </c>
      <c r="R308" s="256">
        <f t="shared" si="63"/>
        <v>5843.8</v>
      </c>
      <c r="S308" s="296"/>
      <c r="T308" s="3">
        <v>16</v>
      </c>
      <c r="U308" s="293"/>
    </row>
    <row r="309" spans="1:21" ht="43.5" customHeight="1" x14ac:dyDescent="0.35">
      <c r="A309" s="218" t="s">
        <v>2601</v>
      </c>
      <c r="B309" s="3">
        <v>290</v>
      </c>
      <c r="C309" s="44">
        <v>10149781</v>
      </c>
      <c r="D309" s="18" t="s">
        <v>50</v>
      </c>
      <c r="E309" s="18" t="s">
        <v>2228</v>
      </c>
      <c r="F309" s="12">
        <v>2</v>
      </c>
      <c r="G309" s="3" t="s">
        <v>0</v>
      </c>
      <c r="H309" s="49">
        <v>2014</v>
      </c>
      <c r="I309" s="27" t="s">
        <v>984</v>
      </c>
      <c r="J309" s="5" t="s">
        <v>1962</v>
      </c>
      <c r="K309" s="49" t="s">
        <v>2115</v>
      </c>
      <c r="L309" s="6" t="s">
        <v>871</v>
      </c>
      <c r="M309" s="72">
        <f t="shared" si="60"/>
        <v>2996.3</v>
      </c>
      <c r="N309" s="72">
        <f t="shared" si="61"/>
        <v>1498.15</v>
      </c>
      <c r="O309" s="72">
        <v>2996.3</v>
      </c>
      <c r="P309" s="72">
        <v>2130</v>
      </c>
      <c r="Q309" s="256">
        <f t="shared" si="62"/>
        <v>468.6</v>
      </c>
      <c r="R309" s="256">
        <f t="shared" si="63"/>
        <v>2598.6</v>
      </c>
      <c r="S309" s="296"/>
      <c r="T309" s="3">
        <v>16</v>
      </c>
      <c r="U309" s="293"/>
    </row>
    <row r="310" spans="1:21" ht="43.5" customHeight="1" x14ac:dyDescent="0.35">
      <c r="A310" s="218" t="s">
        <v>2602</v>
      </c>
      <c r="B310" s="254">
        <v>291</v>
      </c>
      <c r="C310" s="44">
        <v>10149782</v>
      </c>
      <c r="D310" s="18" t="s">
        <v>51</v>
      </c>
      <c r="E310" s="18" t="s">
        <v>2228</v>
      </c>
      <c r="F310" s="12">
        <v>2</v>
      </c>
      <c r="G310" s="3" t="s">
        <v>0</v>
      </c>
      <c r="H310" s="49">
        <v>2014</v>
      </c>
      <c r="I310" s="27" t="s">
        <v>984</v>
      </c>
      <c r="J310" s="5" t="s">
        <v>1962</v>
      </c>
      <c r="K310" s="49" t="s">
        <v>2116</v>
      </c>
      <c r="L310" s="6" t="s">
        <v>871</v>
      </c>
      <c r="M310" s="72">
        <f t="shared" si="60"/>
        <v>2978.3</v>
      </c>
      <c r="N310" s="72">
        <f t="shared" si="61"/>
        <v>1489.15</v>
      </c>
      <c r="O310" s="72">
        <v>2978.3</v>
      </c>
      <c r="P310" s="72">
        <v>2120</v>
      </c>
      <c r="Q310" s="256">
        <f t="shared" si="62"/>
        <v>466.4</v>
      </c>
      <c r="R310" s="256">
        <f t="shared" si="63"/>
        <v>2586.4</v>
      </c>
      <c r="S310" s="296"/>
      <c r="T310" s="3">
        <v>16</v>
      </c>
      <c r="U310" s="293"/>
    </row>
    <row r="311" spans="1:21" ht="43.5" customHeight="1" x14ac:dyDescent="0.35">
      <c r="A311" s="218" t="s">
        <v>2603</v>
      </c>
      <c r="B311" s="3">
        <v>292</v>
      </c>
      <c r="C311" s="44">
        <v>10149783</v>
      </c>
      <c r="D311" s="18" t="s">
        <v>60</v>
      </c>
      <c r="E311" s="18" t="s">
        <v>2228</v>
      </c>
      <c r="F311" s="12">
        <v>3</v>
      </c>
      <c r="G311" s="3" t="s">
        <v>0</v>
      </c>
      <c r="H311" s="49">
        <v>2014</v>
      </c>
      <c r="I311" s="27" t="s">
        <v>984</v>
      </c>
      <c r="J311" s="5" t="s">
        <v>1962</v>
      </c>
      <c r="K311" s="49" t="s">
        <v>2117</v>
      </c>
      <c r="L311" s="5" t="s">
        <v>2147</v>
      </c>
      <c r="M311" s="72">
        <f t="shared" si="60"/>
        <v>8760</v>
      </c>
      <c r="N311" s="72">
        <f t="shared" si="61"/>
        <v>2920</v>
      </c>
      <c r="O311" s="72">
        <v>8760</v>
      </c>
      <c r="P311" s="72">
        <v>9020</v>
      </c>
      <c r="Q311" s="256">
        <f t="shared" si="62"/>
        <v>1984.4</v>
      </c>
      <c r="R311" s="256">
        <f t="shared" si="63"/>
        <v>11004.4</v>
      </c>
      <c r="S311" s="296"/>
      <c r="T311" s="3">
        <v>16</v>
      </c>
      <c r="U311" s="293"/>
    </row>
    <row r="312" spans="1:21" ht="43.5" customHeight="1" x14ac:dyDescent="0.35">
      <c r="A312" s="218" t="s">
        <v>2604</v>
      </c>
      <c r="B312" s="3">
        <v>293</v>
      </c>
      <c r="C312" s="44">
        <v>10143850</v>
      </c>
      <c r="D312" s="18" t="s">
        <v>81</v>
      </c>
      <c r="E312" s="18" t="s">
        <v>2228</v>
      </c>
      <c r="F312" s="12">
        <v>8</v>
      </c>
      <c r="G312" s="3" t="s">
        <v>0</v>
      </c>
      <c r="H312" s="49">
        <v>2014</v>
      </c>
      <c r="I312" s="27" t="s">
        <v>984</v>
      </c>
      <c r="J312" s="5" t="s">
        <v>1962</v>
      </c>
      <c r="K312" s="49" t="s">
        <v>2121</v>
      </c>
      <c r="L312" s="5" t="s">
        <v>2147</v>
      </c>
      <c r="M312" s="72">
        <f t="shared" si="60"/>
        <v>5427.2</v>
      </c>
      <c r="N312" s="72">
        <f t="shared" si="61"/>
        <v>678.4</v>
      </c>
      <c r="O312" s="72">
        <v>5427.2</v>
      </c>
      <c r="P312" s="72">
        <v>5590</v>
      </c>
      <c r="Q312" s="256">
        <f t="shared" si="62"/>
        <v>1229.8</v>
      </c>
      <c r="R312" s="256">
        <f t="shared" si="63"/>
        <v>6819.8</v>
      </c>
      <c r="S312" s="296"/>
      <c r="T312" s="3">
        <v>16</v>
      </c>
      <c r="U312" s="293"/>
    </row>
    <row r="313" spans="1:21" ht="43.5" customHeight="1" x14ac:dyDescent="0.35">
      <c r="A313" s="218" t="s">
        <v>2605</v>
      </c>
      <c r="B313" s="254">
        <v>294</v>
      </c>
      <c r="C313" s="18">
        <v>10012181</v>
      </c>
      <c r="D313" s="18" t="s">
        <v>2148</v>
      </c>
      <c r="E313" s="18" t="s">
        <v>2228</v>
      </c>
      <c r="F313" s="12">
        <v>5.1999999999999998E-2</v>
      </c>
      <c r="G313" s="3" t="s">
        <v>3</v>
      </c>
      <c r="H313" s="39">
        <v>41526</v>
      </c>
      <c r="I313" s="3" t="s">
        <v>984</v>
      </c>
      <c r="J313" s="4" t="s">
        <v>1962</v>
      </c>
      <c r="K313" s="4" t="s">
        <v>988</v>
      </c>
      <c r="L313" s="5" t="s">
        <v>871</v>
      </c>
      <c r="M313" s="72">
        <f t="shared" si="60"/>
        <v>5968.5</v>
      </c>
      <c r="N313" s="72">
        <f t="shared" si="61"/>
        <v>114778.85</v>
      </c>
      <c r="O313" s="72">
        <v>5968.5</v>
      </c>
      <c r="P313" s="72">
        <v>4230</v>
      </c>
      <c r="Q313" s="256">
        <f t="shared" si="62"/>
        <v>930.6</v>
      </c>
      <c r="R313" s="256">
        <f t="shared" si="63"/>
        <v>5160.6000000000004</v>
      </c>
      <c r="S313" s="296"/>
      <c r="T313" s="3">
        <v>16</v>
      </c>
      <c r="U313" s="293"/>
    </row>
    <row r="314" spans="1:21" ht="43.5" customHeight="1" x14ac:dyDescent="0.35">
      <c r="A314" s="218" t="s">
        <v>2606</v>
      </c>
      <c r="B314" s="3">
        <v>295</v>
      </c>
      <c r="C314" s="44">
        <v>10001072</v>
      </c>
      <c r="D314" s="18" t="s">
        <v>110</v>
      </c>
      <c r="E314" s="18" t="s">
        <v>2205</v>
      </c>
      <c r="F314" s="12">
        <v>14</v>
      </c>
      <c r="G314" s="3" t="s">
        <v>0</v>
      </c>
      <c r="H314" s="5">
        <v>42004</v>
      </c>
      <c r="I314" s="5" t="s">
        <v>2144</v>
      </c>
      <c r="J314" s="4" t="s">
        <v>1962</v>
      </c>
      <c r="K314" s="5" t="s">
        <v>988</v>
      </c>
      <c r="L314" s="29" t="s">
        <v>2143</v>
      </c>
      <c r="M314" s="78">
        <f t="shared" si="60"/>
        <v>31197.18</v>
      </c>
      <c r="N314" s="78">
        <f t="shared" si="61"/>
        <v>2228.37</v>
      </c>
      <c r="O314" s="78">
        <v>31197.18</v>
      </c>
      <c r="P314" s="72">
        <v>22230</v>
      </c>
      <c r="Q314" s="256">
        <f t="shared" si="62"/>
        <v>4890.6000000000004</v>
      </c>
      <c r="R314" s="256">
        <f t="shared" si="63"/>
        <v>27120.6</v>
      </c>
      <c r="S314" s="296"/>
      <c r="T314" s="3">
        <v>16</v>
      </c>
      <c r="U314" s="293"/>
    </row>
    <row r="315" spans="1:21" ht="43.5" customHeight="1" x14ac:dyDescent="0.35">
      <c r="A315" s="218" t="s">
        <v>2607</v>
      </c>
      <c r="B315" s="3">
        <v>296</v>
      </c>
      <c r="C315" s="44">
        <v>10139801</v>
      </c>
      <c r="D315" s="18" t="s">
        <v>227</v>
      </c>
      <c r="E315" s="18" t="s">
        <v>2252</v>
      </c>
      <c r="F315" s="12">
        <v>1</v>
      </c>
      <c r="G315" s="3" t="s">
        <v>0</v>
      </c>
      <c r="H315" s="5">
        <v>40603</v>
      </c>
      <c r="I315" s="5" t="s">
        <v>2144</v>
      </c>
      <c r="J315" s="4" t="s">
        <v>1962</v>
      </c>
      <c r="K315" s="5" t="s">
        <v>988</v>
      </c>
      <c r="L315" s="6" t="s">
        <v>871</v>
      </c>
      <c r="M315" s="81">
        <f t="shared" si="60"/>
        <v>68361.899999999994</v>
      </c>
      <c r="N315" s="81">
        <f t="shared" si="61"/>
        <v>68361.899999999994</v>
      </c>
      <c r="O315" s="81">
        <v>68361.899999999994</v>
      </c>
      <c r="P315" s="72">
        <v>50410</v>
      </c>
      <c r="Q315" s="256">
        <f t="shared" si="62"/>
        <v>11090.2</v>
      </c>
      <c r="R315" s="256">
        <f t="shared" si="63"/>
        <v>61500.2</v>
      </c>
      <c r="S315" s="296"/>
      <c r="T315" s="3">
        <v>16</v>
      </c>
      <c r="U315" s="293"/>
    </row>
    <row r="316" spans="1:21" ht="30" customHeight="1" x14ac:dyDescent="0.35">
      <c r="A316" s="218" t="s">
        <v>2608</v>
      </c>
      <c r="B316" s="254">
        <v>297</v>
      </c>
      <c r="C316" s="44">
        <v>10099690</v>
      </c>
      <c r="D316" s="18" t="s">
        <v>240</v>
      </c>
      <c r="E316" s="18" t="s">
        <v>4183</v>
      </c>
      <c r="F316" s="12">
        <v>2</v>
      </c>
      <c r="G316" s="3" t="s">
        <v>0</v>
      </c>
      <c r="H316" s="5">
        <v>42430</v>
      </c>
      <c r="I316" s="5" t="s">
        <v>2144</v>
      </c>
      <c r="J316" s="4" t="s">
        <v>1962</v>
      </c>
      <c r="K316" s="5" t="s">
        <v>988</v>
      </c>
      <c r="L316" s="6" t="s">
        <v>871</v>
      </c>
      <c r="M316" s="81">
        <f t="shared" si="60"/>
        <v>52269.97</v>
      </c>
      <c r="N316" s="81">
        <f t="shared" si="61"/>
        <v>26134.99</v>
      </c>
      <c r="O316" s="81">
        <v>52269.97</v>
      </c>
      <c r="P316" s="72">
        <v>33030</v>
      </c>
      <c r="Q316" s="256">
        <f t="shared" si="62"/>
        <v>7266.6</v>
      </c>
      <c r="R316" s="256">
        <f t="shared" si="63"/>
        <v>40296.6</v>
      </c>
      <c r="S316" s="296"/>
      <c r="T316" s="3">
        <v>16</v>
      </c>
      <c r="U316" s="293"/>
    </row>
    <row r="317" spans="1:21" ht="30" customHeight="1" x14ac:dyDescent="0.35">
      <c r="A317" s="218" t="s">
        <v>2609</v>
      </c>
      <c r="B317" s="3">
        <v>298</v>
      </c>
      <c r="C317" s="44">
        <v>10155502</v>
      </c>
      <c r="D317" s="18" t="s">
        <v>2146</v>
      </c>
      <c r="E317" s="18" t="s">
        <v>2252</v>
      </c>
      <c r="F317" s="12">
        <v>1</v>
      </c>
      <c r="G317" s="3" t="s">
        <v>0</v>
      </c>
      <c r="H317" s="3">
        <v>2014</v>
      </c>
      <c r="I317" s="3" t="s">
        <v>2144</v>
      </c>
      <c r="J317" s="4" t="s">
        <v>1962</v>
      </c>
      <c r="K317" s="4" t="s">
        <v>988</v>
      </c>
      <c r="L317" s="3" t="s">
        <v>871</v>
      </c>
      <c r="M317" s="72">
        <f t="shared" si="60"/>
        <v>66252.27</v>
      </c>
      <c r="N317" s="72">
        <f t="shared" si="61"/>
        <v>66252.27</v>
      </c>
      <c r="O317" s="72">
        <v>66252.27</v>
      </c>
      <c r="P317" s="72">
        <v>47200</v>
      </c>
      <c r="Q317" s="256">
        <f t="shared" si="62"/>
        <v>10384</v>
      </c>
      <c r="R317" s="256">
        <f t="shared" si="63"/>
        <v>57584</v>
      </c>
      <c r="S317" s="296"/>
      <c r="T317" s="3">
        <v>16</v>
      </c>
      <c r="U317" s="293"/>
    </row>
    <row r="318" spans="1:21" ht="28.5" customHeight="1" x14ac:dyDescent="0.35">
      <c r="A318" s="218" t="s">
        <v>2610</v>
      </c>
      <c r="B318" s="3">
        <v>299</v>
      </c>
      <c r="C318" s="44">
        <v>10087729</v>
      </c>
      <c r="D318" s="18" t="s">
        <v>56</v>
      </c>
      <c r="E318" s="18" t="s">
        <v>2228</v>
      </c>
      <c r="F318" s="12">
        <v>3</v>
      </c>
      <c r="G318" s="3" t="s">
        <v>0</v>
      </c>
      <c r="H318" s="5">
        <v>41431</v>
      </c>
      <c r="I318" s="27" t="s">
        <v>984</v>
      </c>
      <c r="J318" s="5" t="s">
        <v>1962</v>
      </c>
      <c r="K318" s="5" t="s">
        <v>2031</v>
      </c>
      <c r="L318" s="29" t="s">
        <v>2143</v>
      </c>
      <c r="M318" s="78">
        <f t="shared" si="60"/>
        <v>79443</v>
      </c>
      <c r="N318" s="78">
        <f t="shared" si="61"/>
        <v>26481</v>
      </c>
      <c r="O318" s="78">
        <v>79443</v>
      </c>
      <c r="P318" s="72">
        <v>56600</v>
      </c>
      <c r="Q318" s="256">
        <f t="shared" si="62"/>
        <v>12452</v>
      </c>
      <c r="R318" s="256">
        <f t="shared" si="63"/>
        <v>69052</v>
      </c>
      <c r="S318" s="296"/>
      <c r="T318" s="3">
        <v>16</v>
      </c>
      <c r="U318" s="293"/>
    </row>
    <row r="319" spans="1:21" ht="30" customHeight="1" x14ac:dyDescent="0.35">
      <c r="A319" s="218" t="s">
        <v>2611</v>
      </c>
      <c r="B319" s="254">
        <v>300</v>
      </c>
      <c r="C319" s="44">
        <v>10155302</v>
      </c>
      <c r="D319" s="18" t="s">
        <v>30</v>
      </c>
      <c r="E319" s="18" t="s">
        <v>2228</v>
      </c>
      <c r="F319" s="12">
        <v>1</v>
      </c>
      <c r="G319" s="3" t="s">
        <v>0</v>
      </c>
      <c r="H319" s="5">
        <v>42247</v>
      </c>
      <c r="I319" s="27" t="s">
        <v>984</v>
      </c>
      <c r="J319" s="5" t="s">
        <v>1962</v>
      </c>
      <c r="K319" s="5" t="s">
        <v>2035</v>
      </c>
      <c r="L319" s="6" t="s">
        <v>871</v>
      </c>
      <c r="M319" s="72">
        <f t="shared" si="60"/>
        <v>1103.0999999999999</v>
      </c>
      <c r="N319" s="72">
        <f t="shared" si="61"/>
        <v>1103.0999999999999</v>
      </c>
      <c r="O319" s="72">
        <v>1103.0999999999999</v>
      </c>
      <c r="P319" s="72">
        <v>710</v>
      </c>
      <c r="Q319" s="256">
        <f t="shared" si="62"/>
        <v>156.19999999999999</v>
      </c>
      <c r="R319" s="256">
        <f t="shared" si="63"/>
        <v>866.2</v>
      </c>
      <c r="S319" s="296"/>
      <c r="T319" s="3">
        <v>16</v>
      </c>
      <c r="U319" s="293"/>
    </row>
    <row r="320" spans="1:21" ht="42" customHeight="1" x14ac:dyDescent="0.35">
      <c r="A320" s="218" t="s">
        <v>2612</v>
      </c>
      <c r="B320" s="3">
        <v>301</v>
      </c>
      <c r="C320" s="44">
        <v>10001198</v>
      </c>
      <c r="D320" s="18" t="s">
        <v>33</v>
      </c>
      <c r="E320" s="18" t="s">
        <v>2228</v>
      </c>
      <c r="F320" s="12">
        <v>2</v>
      </c>
      <c r="G320" s="3" t="s">
        <v>0</v>
      </c>
      <c r="H320" s="5">
        <v>42252</v>
      </c>
      <c r="I320" s="27" t="s">
        <v>984</v>
      </c>
      <c r="J320" s="5" t="s">
        <v>1962</v>
      </c>
      <c r="K320" s="5" t="s">
        <v>2036</v>
      </c>
      <c r="L320" s="6" t="s">
        <v>871</v>
      </c>
      <c r="M320" s="72">
        <f t="shared" si="60"/>
        <v>1432.14</v>
      </c>
      <c r="N320" s="72">
        <f t="shared" si="61"/>
        <v>716.07</v>
      </c>
      <c r="O320" s="72">
        <v>1432.14</v>
      </c>
      <c r="P320" s="72">
        <v>930</v>
      </c>
      <c r="Q320" s="256">
        <f t="shared" si="62"/>
        <v>204.6</v>
      </c>
      <c r="R320" s="256">
        <f t="shared" si="63"/>
        <v>1134.5999999999999</v>
      </c>
      <c r="S320" s="296"/>
      <c r="T320" s="3">
        <v>16</v>
      </c>
      <c r="U320" s="293"/>
    </row>
    <row r="321" spans="1:21" ht="43.5" customHeight="1" x14ac:dyDescent="0.35">
      <c r="A321" s="218" t="s">
        <v>2613</v>
      </c>
      <c r="B321" s="3">
        <v>302</v>
      </c>
      <c r="C321" s="44">
        <v>10006503</v>
      </c>
      <c r="D321" s="18" t="s">
        <v>34</v>
      </c>
      <c r="E321" s="18" t="s">
        <v>2228</v>
      </c>
      <c r="F321" s="12">
        <v>2</v>
      </c>
      <c r="G321" s="3" t="s">
        <v>0</v>
      </c>
      <c r="H321" s="5">
        <v>42004</v>
      </c>
      <c r="I321" s="27" t="s">
        <v>984</v>
      </c>
      <c r="J321" s="5" t="s">
        <v>1962</v>
      </c>
      <c r="K321" s="5" t="s">
        <v>2037</v>
      </c>
      <c r="L321" s="6" t="s">
        <v>871</v>
      </c>
      <c r="M321" s="72">
        <f t="shared" si="60"/>
        <v>20704</v>
      </c>
      <c r="N321" s="72">
        <f t="shared" si="61"/>
        <v>10352</v>
      </c>
      <c r="O321" s="72">
        <v>20704</v>
      </c>
      <c r="P321" s="72">
        <v>14750</v>
      </c>
      <c r="Q321" s="256">
        <f t="shared" si="62"/>
        <v>3245</v>
      </c>
      <c r="R321" s="256">
        <f t="shared" si="63"/>
        <v>17995</v>
      </c>
      <c r="S321" s="296"/>
      <c r="T321" s="3">
        <v>16</v>
      </c>
      <c r="U321" s="293"/>
    </row>
    <row r="322" spans="1:21" ht="46.5" customHeight="1" x14ac:dyDescent="0.35">
      <c r="A322" s="218" t="s">
        <v>2614</v>
      </c>
      <c r="B322" s="254">
        <v>303</v>
      </c>
      <c r="C322" s="44">
        <v>10106490</v>
      </c>
      <c r="D322" s="18" t="s">
        <v>43</v>
      </c>
      <c r="E322" s="18" t="s">
        <v>2228</v>
      </c>
      <c r="F322" s="12">
        <v>2</v>
      </c>
      <c r="G322" s="3" t="s">
        <v>0</v>
      </c>
      <c r="H322" s="5">
        <v>42004</v>
      </c>
      <c r="I322" s="27" t="s">
        <v>984</v>
      </c>
      <c r="J322" s="5" t="s">
        <v>1962</v>
      </c>
      <c r="K322" s="5" t="s">
        <v>2039</v>
      </c>
      <c r="L322" s="6" t="s">
        <v>871</v>
      </c>
      <c r="M322" s="72">
        <f t="shared" si="60"/>
        <v>8019</v>
      </c>
      <c r="N322" s="72">
        <f t="shared" si="61"/>
        <v>4009.5</v>
      </c>
      <c r="O322" s="72">
        <v>8019</v>
      </c>
      <c r="P322" s="72">
        <v>5710</v>
      </c>
      <c r="Q322" s="256">
        <f t="shared" si="62"/>
        <v>1256.2</v>
      </c>
      <c r="R322" s="256">
        <f t="shared" si="63"/>
        <v>6966.2</v>
      </c>
      <c r="S322" s="296"/>
      <c r="T322" s="3">
        <v>16</v>
      </c>
      <c r="U322" s="293"/>
    </row>
    <row r="323" spans="1:21" ht="39" customHeight="1" x14ac:dyDescent="0.35">
      <c r="A323" s="218" t="s">
        <v>2615</v>
      </c>
      <c r="B323" s="3">
        <v>304</v>
      </c>
      <c r="C323" s="44">
        <v>10005303</v>
      </c>
      <c r="D323" s="18" t="s">
        <v>10</v>
      </c>
      <c r="E323" s="18" t="s">
        <v>2228</v>
      </c>
      <c r="F323" s="12">
        <v>0.81699999999999995</v>
      </c>
      <c r="G323" s="3" t="s">
        <v>3</v>
      </c>
      <c r="H323" s="49">
        <v>2014</v>
      </c>
      <c r="I323" s="27" t="s">
        <v>984</v>
      </c>
      <c r="J323" s="5" t="s">
        <v>1962</v>
      </c>
      <c r="K323" s="49" t="s">
        <v>2108</v>
      </c>
      <c r="L323" s="6" t="s">
        <v>871</v>
      </c>
      <c r="M323" s="72">
        <f t="shared" si="60"/>
        <v>35226.49</v>
      </c>
      <c r="N323" s="72">
        <f t="shared" si="61"/>
        <v>43116.88</v>
      </c>
      <c r="O323" s="72">
        <v>35226.49</v>
      </c>
      <c r="P323" s="72">
        <v>25020</v>
      </c>
      <c r="Q323" s="256">
        <f t="shared" si="62"/>
        <v>5504.4</v>
      </c>
      <c r="R323" s="256">
        <f t="shared" si="63"/>
        <v>30524.400000000001</v>
      </c>
      <c r="S323" s="296"/>
      <c r="T323" s="3">
        <v>16</v>
      </c>
      <c r="U323" s="293"/>
    </row>
    <row r="324" spans="1:21" ht="87.75" customHeight="1" x14ac:dyDescent="0.35">
      <c r="A324" s="218" t="s">
        <v>2616</v>
      </c>
      <c r="B324" s="3">
        <v>305</v>
      </c>
      <c r="C324" s="44">
        <v>10010365</v>
      </c>
      <c r="D324" s="18" t="s">
        <v>13</v>
      </c>
      <c r="E324" s="18" t="s">
        <v>2228</v>
      </c>
      <c r="F324" s="12">
        <v>1</v>
      </c>
      <c r="G324" s="3" t="s">
        <v>0</v>
      </c>
      <c r="H324" s="49">
        <v>2014</v>
      </c>
      <c r="I324" s="27" t="s">
        <v>984</v>
      </c>
      <c r="J324" s="5" t="s">
        <v>1962</v>
      </c>
      <c r="K324" s="49" t="s">
        <v>2109</v>
      </c>
      <c r="L324" s="6" t="s">
        <v>871</v>
      </c>
      <c r="M324" s="72">
        <f t="shared" si="60"/>
        <v>1946.5</v>
      </c>
      <c r="N324" s="72">
        <f t="shared" si="61"/>
        <v>1946.5</v>
      </c>
      <c r="O324" s="72">
        <v>1946.5</v>
      </c>
      <c r="P324" s="72">
        <v>1380</v>
      </c>
      <c r="Q324" s="256">
        <f t="shared" si="62"/>
        <v>303.60000000000002</v>
      </c>
      <c r="R324" s="256">
        <f t="shared" si="63"/>
        <v>1683.6</v>
      </c>
      <c r="S324" s="296"/>
      <c r="T324" s="3">
        <v>16</v>
      </c>
      <c r="U324" s="293"/>
    </row>
    <row r="325" spans="1:21" ht="30" customHeight="1" x14ac:dyDescent="0.35">
      <c r="A325" s="218" t="s">
        <v>2617</v>
      </c>
      <c r="B325" s="254">
        <v>306</v>
      </c>
      <c r="C325" s="44">
        <v>10107633</v>
      </c>
      <c r="D325" s="18" t="s">
        <v>20</v>
      </c>
      <c r="E325" s="18" t="s">
        <v>2228</v>
      </c>
      <c r="F325" s="12">
        <v>1</v>
      </c>
      <c r="G325" s="3" t="s">
        <v>0</v>
      </c>
      <c r="H325" s="49">
        <v>2014</v>
      </c>
      <c r="I325" s="27" t="s">
        <v>984</v>
      </c>
      <c r="J325" s="5" t="s">
        <v>1962</v>
      </c>
      <c r="K325" s="49" t="s">
        <v>2111</v>
      </c>
      <c r="L325" s="6" t="s">
        <v>871</v>
      </c>
      <c r="M325" s="72">
        <f t="shared" si="60"/>
        <v>3521.05</v>
      </c>
      <c r="N325" s="72">
        <f t="shared" si="61"/>
        <v>3521.05</v>
      </c>
      <c r="O325" s="72">
        <v>3521.05</v>
      </c>
      <c r="P325" s="72">
        <v>2500</v>
      </c>
      <c r="Q325" s="256">
        <f t="shared" si="62"/>
        <v>550</v>
      </c>
      <c r="R325" s="256">
        <f t="shared" si="63"/>
        <v>3050</v>
      </c>
      <c r="S325" s="296"/>
      <c r="T325" s="3">
        <v>16</v>
      </c>
      <c r="U325" s="293"/>
    </row>
    <row r="326" spans="1:21" ht="30" customHeight="1" x14ac:dyDescent="0.35">
      <c r="A326" s="218" t="s">
        <v>2618</v>
      </c>
      <c r="B326" s="3">
        <v>307</v>
      </c>
      <c r="C326" s="44">
        <v>10006226</v>
      </c>
      <c r="D326" s="18" t="s">
        <v>131</v>
      </c>
      <c r="E326" s="18" t="s">
        <v>2219</v>
      </c>
      <c r="F326" s="12">
        <f>355.94-112.85-45.21</f>
        <v>197.88</v>
      </c>
      <c r="G326" s="3" t="s">
        <v>17</v>
      </c>
      <c r="H326" s="49">
        <v>2014</v>
      </c>
      <c r="I326" s="27" t="s">
        <v>984</v>
      </c>
      <c r="J326" s="5" t="s">
        <v>1962</v>
      </c>
      <c r="K326" s="49" t="s">
        <v>2134</v>
      </c>
      <c r="L326" s="6" t="s">
        <v>871</v>
      </c>
      <c r="M326" s="81">
        <f t="shared" si="60"/>
        <v>288468.2</v>
      </c>
      <c r="N326" s="81">
        <f t="shared" si="61"/>
        <v>1457.79</v>
      </c>
      <c r="O326" s="81">
        <f>518887.06/355.94*197.88</f>
        <v>288468.2</v>
      </c>
      <c r="P326" s="72">
        <v>204860</v>
      </c>
      <c r="Q326" s="256">
        <f t="shared" si="62"/>
        <v>45069.2</v>
      </c>
      <c r="R326" s="256">
        <f t="shared" si="63"/>
        <v>249929.2</v>
      </c>
      <c r="S326" s="296"/>
      <c r="T326" s="3">
        <v>16</v>
      </c>
      <c r="U326" s="293"/>
    </row>
    <row r="327" spans="1:21" ht="30" customHeight="1" x14ac:dyDescent="0.35">
      <c r="A327" s="218" t="s">
        <v>4090</v>
      </c>
      <c r="B327" s="3">
        <v>308</v>
      </c>
      <c r="C327" s="44">
        <v>10006226</v>
      </c>
      <c r="D327" s="18" t="s">
        <v>131</v>
      </c>
      <c r="E327" s="18" t="s">
        <v>4088</v>
      </c>
      <c r="F327" s="12">
        <v>45.21</v>
      </c>
      <c r="G327" s="3" t="s">
        <v>17</v>
      </c>
      <c r="H327" s="49">
        <v>2014</v>
      </c>
      <c r="I327" s="27" t="s">
        <v>984</v>
      </c>
      <c r="J327" s="5" t="s">
        <v>1962</v>
      </c>
      <c r="K327" s="49" t="s">
        <v>2134</v>
      </c>
      <c r="L327" s="6" t="s">
        <v>871</v>
      </c>
      <c r="M327" s="81">
        <f>O327</f>
        <v>65906.850000000006</v>
      </c>
      <c r="N327" s="81">
        <f>M327/F327</f>
        <v>1457.79</v>
      </c>
      <c r="O327" s="81">
        <v>65906.850000000006</v>
      </c>
      <c r="P327" s="72">
        <v>46800</v>
      </c>
      <c r="Q327" s="256">
        <f t="shared" si="62"/>
        <v>10296</v>
      </c>
      <c r="R327" s="256">
        <f t="shared" si="63"/>
        <v>57096</v>
      </c>
      <c r="S327" s="297"/>
      <c r="T327" s="3">
        <v>16</v>
      </c>
      <c r="U327" s="293"/>
    </row>
    <row r="328" spans="1:21" ht="15" customHeight="1" x14ac:dyDescent="0.35">
      <c r="A328" s="218"/>
      <c r="B328" s="94"/>
      <c r="C328" s="44"/>
      <c r="D328" s="18"/>
      <c r="E328" s="18"/>
      <c r="F328" s="12"/>
      <c r="G328" s="3"/>
      <c r="H328" s="49"/>
      <c r="I328" s="27"/>
      <c r="J328" s="5"/>
      <c r="K328" s="49"/>
      <c r="L328" s="6"/>
      <c r="M328" s="81"/>
      <c r="N328" s="81"/>
      <c r="O328" s="109">
        <f>SUM(O276:O327)</f>
        <v>988132.05</v>
      </c>
      <c r="P328" s="276">
        <f>SUM(P276:P327)</f>
        <v>696490</v>
      </c>
      <c r="Q328" s="282">
        <f>SUM(Q276:Q327)</f>
        <v>153227.79999999999</v>
      </c>
      <c r="R328" s="282">
        <f>SUM(R276:R327)</f>
        <v>849717.8</v>
      </c>
      <c r="S328" s="286">
        <f>R328/100*10</f>
        <v>84971.78</v>
      </c>
      <c r="T328" s="104">
        <v>16</v>
      </c>
      <c r="U328" s="304"/>
    </row>
    <row r="329" spans="1:21" ht="15.75" customHeight="1" x14ac:dyDescent="0.35">
      <c r="A329" s="218" t="s">
        <v>2619</v>
      </c>
      <c r="B329" s="3">
        <v>309</v>
      </c>
      <c r="C329" s="44">
        <v>10027085</v>
      </c>
      <c r="D329" s="18" t="s">
        <v>1851</v>
      </c>
      <c r="E329" s="18" t="s">
        <v>2228</v>
      </c>
      <c r="F329" s="12">
        <v>5</v>
      </c>
      <c r="G329" s="3" t="s">
        <v>0</v>
      </c>
      <c r="H329" s="39">
        <v>39355</v>
      </c>
      <c r="I329" s="27" t="s">
        <v>984</v>
      </c>
      <c r="J329" s="4" t="s">
        <v>1962</v>
      </c>
      <c r="K329" s="4" t="s">
        <v>988</v>
      </c>
      <c r="L329" s="29" t="s">
        <v>977</v>
      </c>
      <c r="M329" s="78">
        <f t="shared" si="60"/>
        <v>0.13</v>
      </c>
      <c r="N329" s="78">
        <f>O329/F329</f>
        <v>0.03</v>
      </c>
      <c r="O329" s="78">
        <v>0.13</v>
      </c>
      <c r="P329" s="256">
        <v>500</v>
      </c>
      <c r="Q329" s="256">
        <f>R329-P329</f>
        <v>110</v>
      </c>
      <c r="R329" s="256">
        <f>P329*1.22</f>
        <v>610</v>
      </c>
      <c r="S329" s="289"/>
      <c r="T329" s="3">
        <v>17</v>
      </c>
      <c r="U329" s="292" t="s">
        <v>2312</v>
      </c>
    </row>
    <row r="330" spans="1:21" ht="30" customHeight="1" x14ac:dyDescent="0.35">
      <c r="A330" s="218" t="s">
        <v>2620</v>
      </c>
      <c r="B330" s="3">
        <v>310</v>
      </c>
      <c r="C330" s="44">
        <v>10027363</v>
      </c>
      <c r="D330" s="18" t="s">
        <v>127</v>
      </c>
      <c r="E330" s="18" t="s">
        <v>2219</v>
      </c>
      <c r="F330" s="12">
        <v>312</v>
      </c>
      <c r="G330" s="3" t="s">
        <v>0</v>
      </c>
      <c r="H330" s="49">
        <v>2014</v>
      </c>
      <c r="I330" s="27" t="s">
        <v>984</v>
      </c>
      <c r="J330" s="5" t="s">
        <v>1962</v>
      </c>
      <c r="K330" s="49" t="s">
        <v>2048</v>
      </c>
      <c r="L330" s="5" t="s">
        <v>2147</v>
      </c>
      <c r="M330" s="72">
        <f t="shared" si="60"/>
        <v>19546.8</v>
      </c>
      <c r="N330" s="72">
        <f>O330/F330</f>
        <v>62.65</v>
      </c>
      <c r="O330" s="72">
        <v>19546.8</v>
      </c>
      <c r="P330" s="72">
        <v>21450</v>
      </c>
      <c r="Q330" s="256">
        <f>R330-P330</f>
        <v>4719</v>
      </c>
      <c r="R330" s="256">
        <f>P330*1.22</f>
        <v>26169</v>
      </c>
      <c r="S330" s="296"/>
      <c r="T330" s="3">
        <v>17</v>
      </c>
      <c r="U330" s="293"/>
    </row>
    <row r="331" spans="1:21" ht="30" customHeight="1" x14ac:dyDescent="0.35">
      <c r="A331" s="218" t="s">
        <v>2621</v>
      </c>
      <c r="B331" s="3">
        <v>311</v>
      </c>
      <c r="C331" s="44">
        <v>10027361</v>
      </c>
      <c r="D331" s="18" t="s">
        <v>129</v>
      </c>
      <c r="E331" s="18" t="s">
        <v>2219</v>
      </c>
      <c r="F331" s="12">
        <v>328</v>
      </c>
      <c r="G331" s="3" t="s">
        <v>0</v>
      </c>
      <c r="H331" s="49">
        <v>2014</v>
      </c>
      <c r="I331" s="27" t="s">
        <v>984</v>
      </c>
      <c r="J331" s="5" t="s">
        <v>1962</v>
      </c>
      <c r="K331" s="49" t="s">
        <v>2133</v>
      </c>
      <c r="L331" s="5" t="s">
        <v>2147</v>
      </c>
      <c r="M331" s="72">
        <f t="shared" si="60"/>
        <v>12788.72</v>
      </c>
      <c r="N331" s="72">
        <f>O331/F331</f>
        <v>38.99</v>
      </c>
      <c r="O331" s="72">
        <v>12788.72</v>
      </c>
      <c r="P331" s="72">
        <v>14030</v>
      </c>
      <c r="Q331" s="256">
        <f>R331-P331</f>
        <v>3086.6</v>
      </c>
      <c r="R331" s="256">
        <f>P331*1.22</f>
        <v>17116.599999999999</v>
      </c>
      <c r="S331" s="297"/>
      <c r="T331" s="3">
        <v>17</v>
      </c>
      <c r="U331" s="293"/>
    </row>
    <row r="332" spans="1:21" ht="15" customHeight="1" x14ac:dyDescent="0.35">
      <c r="A332" s="218"/>
      <c r="B332" s="94"/>
      <c r="C332" s="44"/>
      <c r="D332" s="18"/>
      <c r="E332" s="18"/>
      <c r="F332" s="12"/>
      <c r="G332" s="3"/>
      <c r="H332" s="49"/>
      <c r="I332" s="27"/>
      <c r="J332" s="5"/>
      <c r="K332" s="49"/>
      <c r="L332" s="5"/>
      <c r="M332" s="72"/>
      <c r="N332" s="72"/>
      <c r="O332" s="82">
        <f>SUM(O329:O331)</f>
        <v>32335.65</v>
      </c>
      <c r="P332" s="276">
        <f t="shared" ref="P332:Q332" si="64">SUM(P329:P331)</f>
        <v>35980</v>
      </c>
      <c r="Q332" s="282">
        <f t="shared" si="64"/>
        <v>7915.6</v>
      </c>
      <c r="R332" s="282">
        <f>SUM(R329:R331)</f>
        <v>43895.6</v>
      </c>
      <c r="S332" s="286">
        <f>R332/100*10</f>
        <v>4389.5600000000004</v>
      </c>
      <c r="T332" s="104">
        <v>17</v>
      </c>
      <c r="U332" s="304"/>
    </row>
    <row r="333" spans="1:21" ht="30" customHeight="1" x14ac:dyDescent="0.35">
      <c r="A333" s="218" t="s">
        <v>2622</v>
      </c>
      <c r="B333" s="3">
        <v>312</v>
      </c>
      <c r="C333" s="44">
        <v>10107163</v>
      </c>
      <c r="D333" s="18" t="s">
        <v>1852</v>
      </c>
      <c r="E333" s="18" t="s">
        <v>2228</v>
      </c>
      <c r="F333" s="12">
        <v>8</v>
      </c>
      <c r="G333" s="3" t="s">
        <v>0</v>
      </c>
      <c r="H333" s="39">
        <v>41375</v>
      </c>
      <c r="I333" s="27" t="s">
        <v>984</v>
      </c>
      <c r="J333" s="4" t="s">
        <v>1962</v>
      </c>
      <c r="K333" s="4" t="s">
        <v>988</v>
      </c>
      <c r="L333" s="29" t="s">
        <v>977</v>
      </c>
      <c r="M333" s="78">
        <f t="shared" si="60"/>
        <v>804.48</v>
      </c>
      <c r="N333" s="78">
        <f t="shared" ref="N333:N336" si="65">O333/F333</f>
        <v>100.56</v>
      </c>
      <c r="O333" s="78">
        <v>804.48</v>
      </c>
      <c r="P333" s="72">
        <v>1200</v>
      </c>
      <c r="Q333" s="256">
        <f t="shared" ref="Q333:Q338" si="66">R333-P333</f>
        <v>264</v>
      </c>
      <c r="R333" s="256">
        <f t="shared" ref="R333:R338" si="67">P333*1.22</f>
        <v>1464</v>
      </c>
      <c r="S333" s="289"/>
      <c r="T333" s="3">
        <v>18</v>
      </c>
      <c r="U333" s="292" t="s">
        <v>2313</v>
      </c>
    </row>
    <row r="334" spans="1:21" ht="42" customHeight="1" x14ac:dyDescent="0.35">
      <c r="A334" s="218" t="s">
        <v>2623</v>
      </c>
      <c r="B334" s="3">
        <v>313</v>
      </c>
      <c r="C334" s="44">
        <v>10006498</v>
      </c>
      <c r="D334" s="18" t="s">
        <v>1853</v>
      </c>
      <c r="E334" s="18" t="s">
        <v>2228</v>
      </c>
      <c r="F334" s="12">
        <v>16</v>
      </c>
      <c r="G334" s="3" t="s">
        <v>0</v>
      </c>
      <c r="H334" s="39">
        <v>40129</v>
      </c>
      <c r="I334" s="27" t="s">
        <v>984</v>
      </c>
      <c r="J334" s="4" t="s">
        <v>1962</v>
      </c>
      <c r="K334" s="4" t="s">
        <v>988</v>
      </c>
      <c r="L334" s="29" t="s">
        <v>977</v>
      </c>
      <c r="M334" s="78">
        <f t="shared" si="60"/>
        <v>164741.15</v>
      </c>
      <c r="N334" s="78">
        <f t="shared" si="65"/>
        <v>10296.32</v>
      </c>
      <c r="O334" s="78">
        <v>164741.15</v>
      </c>
      <c r="P334" s="72">
        <v>296010</v>
      </c>
      <c r="Q334" s="256">
        <f t="shared" si="66"/>
        <v>65122.2</v>
      </c>
      <c r="R334" s="256">
        <f t="shared" si="67"/>
        <v>361132.2</v>
      </c>
      <c r="S334" s="296"/>
      <c r="T334" s="3">
        <v>18</v>
      </c>
      <c r="U334" s="294"/>
    </row>
    <row r="335" spans="1:21" ht="27.75" customHeight="1" x14ac:dyDescent="0.35">
      <c r="A335" s="218" t="s">
        <v>2624</v>
      </c>
      <c r="B335" s="3">
        <v>314</v>
      </c>
      <c r="C335" s="44">
        <v>10104465</v>
      </c>
      <c r="D335" s="18" t="s">
        <v>1854</v>
      </c>
      <c r="E335" s="18" t="s">
        <v>2228</v>
      </c>
      <c r="F335" s="12">
        <f>10-4-2</f>
        <v>4</v>
      </c>
      <c r="G335" s="3" t="s">
        <v>0</v>
      </c>
      <c r="H335" s="39">
        <v>40157</v>
      </c>
      <c r="I335" s="27" t="s">
        <v>984</v>
      </c>
      <c r="J335" s="4" t="s">
        <v>1962</v>
      </c>
      <c r="K335" s="4" t="s">
        <v>988</v>
      </c>
      <c r="L335" s="29" t="s">
        <v>977</v>
      </c>
      <c r="M335" s="78">
        <f t="shared" si="60"/>
        <v>43091.81</v>
      </c>
      <c r="N335" s="78">
        <f t="shared" si="65"/>
        <v>10772.95</v>
      </c>
      <c r="O335" s="78">
        <f>107729.52/10*4</f>
        <v>43091.81</v>
      </c>
      <c r="P335" s="72">
        <v>77560</v>
      </c>
      <c r="Q335" s="256">
        <f t="shared" si="66"/>
        <v>17063.2</v>
      </c>
      <c r="R335" s="256">
        <f t="shared" si="67"/>
        <v>94623.2</v>
      </c>
      <c r="S335" s="296"/>
      <c r="T335" s="3">
        <v>18</v>
      </c>
      <c r="U335" s="294"/>
    </row>
    <row r="336" spans="1:21" ht="45" customHeight="1" x14ac:dyDescent="0.35">
      <c r="A336" s="218" t="s">
        <v>2625</v>
      </c>
      <c r="B336" s="3">
        <v>315</v>
      </c>
      <c r="C336" s="44">
        <v>10091335</v>
      </c>
      <c r="D336" s="18" t="s">
        <v>1855</v>
      </c>
      <c r="E336" s="18" t="s">
        <v>2228</v>
      </c>
      <c r="F336" s="12">
        <v>2</v>
      </c>
      <c r="G336" s="3" t="s">
        <v>0</v>
      </c>
      <c r="H336" s="39">
        <v>40129</v>
      </c>
      <c r="I336" s="27" t="s">
        <v>984</v>
      </c>
      <c r="J336" s="4" t="s">
        <v>1962</v>
      </c>
      <c r="K336" s="4" t="s">
        <v>988</v>
      </c>
      <c r="L336" s="29" t="s">
        <v>977</v>
      </c>
      <c r="M336" s="78">
        <f t="shared" si="60"/>
        <v>3458.16</v>
      </c>
      <c r="N336" s="78">
        <f t="shared" si="65"/>
        <v>1729.08</v>
      </c>
      <c r="O336" s="78">
        <v>3458.16</v>
      </c>
      <c r="P336" s="72">
        <v>6210</v>
      </c>
      <c r="Q336" s="256">
        <f t="shared" si="66"/>
        <v>1366.2</v>
      </c>
      <c r="R336" s="256">
        <f t="shared" si="67"/>
        <v>7576.2</v>
      </c>
      <c r="S336" s="296"/>
      <c r="T336" s="3">
        <v>18</v>
      </c>
      <c r="U336" s="294"/>
    </row>
    <row r="337" spans="1:21" ht="45" customHeight="1" x14ac:dyDescent="0.35">
      <c r="A337" s="218" t="s">
        <v>4167</v>
      </c>
      <c r="B337" s="3">
        <v>316</v>
      </c>
      <c r="C337" s="44">
        <v>10102170</v>
      </c>
      <c r="D337" s="18" t="s">
        <v>92</v>
      </c>
      <c r="E337" s="18" t="s">
        <v>2228</v>
      </c>
      <c r="F337" s="12">
        <f>19-15</f>
        <v>4</v>
      </c>
      <c r="G337" s="3" t="s">
        <v>0</v>
      </c>
      <c r="H337" s="39">
        <v>42352</v>
      </c>
      <c r="I337" s="27" t="s">
        <v>984</v>
      </c>
      <c r="J337" s="4" t="s">
        <v>1962</v>
      </c>
      <c r="K337" s="4" t="s">
        <v>988</v>
      </c>
      <c r="L337" s="29" t="s">
        <v>977</v>
      </c>
      <c r="M337" s="78">
        <f>O337</f>
        <v>15717.6</v>
      </c>
      <c r="N337" s="78">
        <f>O337/F337</f>
        <v>3929.4</v>
      </c>
      <c r="O337" s="78">
        <f>74658.58/19*4</f>
        <v>15717.6</v>
      </c>
      <c r="P337" s="72">
        <v>21570</v>
      </c>
      <c r="Q337" s="256">
        <f t="shared" si="66"/>
        <v>4745.3999999999996</v>
      </c>
      <c r="R337" s="256">
        <f t="shared" si="67"/>
        <v>26315.4</v>
      </c>
      <c r="S337" s="296"/>
      <c r="T337" s="3">
        <v>18</v>
      </c>
      <c r="U337" s="294"/>
    </row>
    <row r="338" spans="1:21" ht="45" customHeight="1" x14ac:dyDescent="0.35">
      <c r="A338" s="218" t="s">
        <v>4168</v>
      </c>
      <c r="B338" s="3">
        <v>317</v>
      </c>
      <c r="C338" s="44">
        <v>10102170</v>
      </c>
      <c r="D338" s="18" t="s">
        <v>92</v>
      </c>
      <c r="E338" s="19" t="s">
        <v>2219</v>
      </c>
      <c r="F338" s="12">
        <v>15</v>
      </c>
      <c r="G338" s="3" t="s">
        <v>0</v>
      </c>
      <c r="H338" s="39">
        <v>42352</v>
      </c>
      <c r="I338" s="27" t="s">
        <v>984</v>
      </c>
      <c r="J338" s="4" t="s">
        <v>1962</v>
      </c>
      <c r="K338" s="4" t="s">
        <v>988</v>
      </c>
      <c r="L338" s="29" t="s">
        <v>977</v>
      </c>
      <c r="M338" s="78">
        <f>O338</f>
        <v>58940.98</v>
      </c>
      <c r="N338" s="78">
        <f>M338/F338</f>
        <v>3929.4</v>
      </c>
      <c r="O338" s="78">
        <v>58940.98</v>
      </c>
      <c r="P338" s="72">
        <v>80870</v>
      </c>
      <c r="Q338" s="256">
        <f t="shared" si="66"/>
        <v>17791.400000000001</v>
      </c>
      <c r="R338" s="256">
        <f t="shared" si="67"/>
        <v>98661.4</v>
      </c>
      <c r="S338" s="297"/>
      <c r="T338" s="3">
        <v>18</v>
      </c>
      <c r="U338" s="294"/>
    </row>
    <row r="339" spans="1:21" ht="14.25" customHeight="1" x14ac:dyDescent="0.35">
      <c r="A339" s="218"/>
      <c r="B339" s="94"/>
      <c r="C339" s="44"/>
      <c r="D339" s="18"/>
      <c r="E339" s="18"/>
      <c r="F339" s="12"/>
      <c r="G339" s="3"/>
      <c r="H339" s="39"/>
      <c r="I339" s="27"/>
      <c r="J339" s="4"/>
      <c r="K339" s="4"/>
      <c r="L339" s="29"/>
      <c r="M339" s="78"/>
      <c r="N339" s="78"/>
      <c r="O339" s="108">
        <f>SUM(O333:O338)</f>
        <v>286754.18</v>
      </c>
      <c r="P339" s="276">
        <f t="shared" ref="P339:Q339" si="68">SUM(P333:P338)</f>
        <v>483420</v>
      </c>
      <c r="Q339" s="282">
        <f t="shared" si="68"/>
        <v>106352.4</v>
      </c>
      <c r="R339" s="282">
        <f>SUM(R333:R338)</f>
        <v>589772.4</v>
      </c>
      <c r="S339" s="286">
        <f>R339/100*10</f>
        <v>58977.24</v>
      </c>
      <c r="T339" s="104">
        <v>18</v>
      </c>
      <c r="U339" s="295"/>
    </row>
    <row r="340" spans="1:21" ht="45" customHeight="1" x14ac:dyDescent="0.35">
      <c r="A340" s="218" t="s">
        <v>2626</v>
      </c>
      <c r="B340" s="3">
        <v>318</v>
      </c>
      <c r="C340" s="44">
        <v>10011423</v>
      </c>
      <c r="D340" s="18" t="s">
        <v>174</v>
      </c>
      <c r="E340" s="18" t="s">
        <v>4274</v>
      </c>
      <c r="F340" s="12">
        <v>1</v>
      </c>
      <c r="G340" s="3" t="s">
        <v>0</v>
      </c>
      <c r="H340" s="5">
        <v>42004</v>
      </c>
      <c r="I340" s="5" t="s">
        <v>985</v>
      </c>
      <c r="J340" s="4" t="s">
        <v>1962</v>
      </c>
      <c r="K340" s="6" t="s">
        <v>2006</v>
      </c>
      <c r="L340" s="6" t="s">
        <v>871</v>
      </c>
      <c r="M340" s="81">
        <f t="shared" ref="M340:M359" si="69">O340</f>
        <v>1979.24</v>
      </c>
      <c r="N340" s="81">
        <f>O340/F340</f>
        <v>1979.24</v>
      </c>
      <c r="O340" s="81">
        <v>1979.24</v>
      </c>
      <c r="P340" s="72">
        <v>2000</v>
      </c>
      <c r="Q340" s="256">
        <f>R340-P340</f>
        <v>440</v>
      </c>
      <c r="R340" s="279">
        <f>P340*1.22</f>
        <v>2440</v>
      </c>
      <c r="S340" s="289"/>
      <c r="T340" s="3">
        <v>19</v>
      </c>
      <c r="U340" s="292" t="s">
        <v>2313</v>
      </c>
    </row>
    <row r="341" spans="1:21" ht="45" customHeight="1" x14ac:dyDescent="0.35">
      <c r="A341" s="218" t="s">
        <v>2627</v>
      </c>
      <c r="B341" s="3">
        <v>319</v>
      </c>
      <c r="C341" s="44">
        <v>10102170</v>
      </c>
      <c r="D341" s="18" t="s">
        <v>92</v>
      </c>
      <c r="E341" s="18" t="s">
        <v>2214</v>
      </c>
      <c r="F341" s="12">
        <v>1</v>
      </c>
      <c r="G341" s="3" t="s">
        <v>0</v>
      </c>
      <c r="H341" s="5" t="s">
        <v>519</v>
      </c>
      <c r="I341" s="5" t="s">
        <v>2209</v>
      </c>
      <c r="J341" s="4" t="s">
        <v>1962</v>
      </c>
      <c r="K341" s="62" t="s">
        <v>1331</v>
      </c>
      <c r="L341" s="6" t="s">
        <v>871</v>
      </c>
      <c r="M341" s="81">
        <f t="shared" si="69"/>
        <v>4038.52</v>
      </c>
      <c r="N341" s="81">
        <f>O341/F341</f>
        <v>4038.52</v>
      </c>
      <c r="O341" s="81">
        <v>4038.52</v>
      </c>
      <c r="P341" s="72">
        <v>3260</v>
      </c>
      <c r="Q341" s="256">
        <f>R341-P341</f>
        <v>717.2</v>
      </c>
      <c r="R341" s="279">
        <f>P341*1.22</f>
        <v>3977.2</v>
      </c>
      <c r="S341" s="296"/>
      <c r="T341" s="3">
        <v>19</v>
      </c>
      <c r="U341" s="293"/>
    </row>
    <row r="342" spans="1:21" ht="45" customHeight="1" x14ac:dyDescent="0.35">
      <c r="A342" s="218" t="s">
        <v>2628</v>
      </c>
      <c r="B342" s="3">
        <v>320</v>
      </c>
      <c r="C342" s="44">
        <v>10102170</v>
      </c>
      <c r="D342" s="18" t="s">
        <v>92</v>
      </c>
      <c r="E342" s="18" t="s">
        <v>2215</v>
      </c>
      <c r="F342" s="12">
        <v>2</v>
      </c>
      <c r="G342" s="3" t="s">
        <v>0</v>
      </c>
      <c r="H342" s="5" t="s">
        <v>1328</v>
      </c>
      <c r="I342" s="5" t="s">
        <v>2209</v>
      </c>
      <c r="J342" s="4" t="s">
        <v>1962</v>
      </c>
      <c r="K342" s="62" t="s">
        <v>1331</v>
      </c>
      <c r="L342" s="6" t="s">
        <v>871</v>
      </c>
      <c r="M342" s="81">
        <f t="shared" si="69"/>
        <v>8077.04</v>
      </c>
      <c r="N342" s="81">
        <f>O342/F342</f>
        <v>4038.52</v>
      </c>
      <c r="O342" s="81">
        <v>8077.04</v>
      </c>
      <c r="P342" s="72">
        <v>6520</v>
      </c>
      <c r="Q342" s="256">
        <f>R342-P342</f>
        <v>1434.4</v>
      </c>
      <c r="R342" s="279">
        <f>P342*1.22</f>
        <v>7954.4</v>
      </c>
      <c r="S342" s="296"/>
      <c r="T342" s="3">
        <v>19</v>
      </c>
      <c r="U342" s="293"/>
    </row>
    <row r="343" spans="1:21" ht="45" customHeight="1" x14ac:dyDescent="0.35">
      <c r="A343" s="218" t="s">
        <v>2629</v>
      </c>
      <c r="B343" s="3">
        <v>321</v>
      </c>
      <c r="C343" s="44">
        <v>10015376</v>
      </c>
      <c r="D343" s="18" t="s">
        <v>1297</v>
      </c>
      <c r="E343" s="18" t="s">
        <v>2216</v>
      </c>
      <c r="F343" s="12">
        <v>2</v>
      </c>
      <c r="G343" s="3" t="s">
        <v>0</v>
      </c>
      <c r="H343" s="3">
        <v>2014</v>
      </c>
      <c r="I343" s="5" t="s">
        <v>2209</v>
      </c>
      <c r="J343" s="4" t="s">
        <v>1962</v>
      </c>
      <c r="K343" s="49" t="s">
        <v>988</v>
      </c>
      <c r="L343" s="6" t="s">
        <v>871</v>
      </c>
      <c r="M343" s="81">
        <f t="shared" si="69"/>
        <v>9912.98</v>
      </c>
      <c r="N343" s="81">
        <f>O343/F343</f>
        <v>4956.49</v>
      </c>
      <c r="O343" s="81">
        <v>9912.98</v>
      </c>
      <c r="P343" s="72">
        <v>9960</v>
      </c>
      <c r="Q343" s="256">
        <f>R343-P343</f>
        <v>2191.1999999999998</v>
      </c>
      <c r="R343" s="279">
        <f>P343*1.22</f>
        <v>12151.2</v>
      </c>
      <c r="S343" s="297"/>
      <c r="T343" s="3">
        <v>19</v>
      </c>
      <c r="U343" s="293"/>
    </row>
    <row r="344" spans="1:21" ht="15" customHeight="1" x14ac:dyDescent="0.35">
      <c r="A344" s="218"/>
      <c r="B344" s="94"/>
      <c r="C344" s="44"/>
      <c r="D344" s="18"/>
      <c r="E344" s="18"/>
      <c r="F344" s="12"/>
      <c r="G344" s="3"/>
      <c r="H344" s="49"/>
      <c r="I344" s="27"/>
      <c r="J344" s="5"/>
      <c r="K344" s="49"/>
      <c r="L344" s="6"/>
      <c r="M344" s="81"/>
      <c r="N344" s="81"/>
      <c r="O344" s="109">
        <f>SUM(O340:O343)</f>
        <v>24007.78</v>
      </c>
      <c r="P344" s="276">
        <f t="shared" ref="P344:Q344" si="70">SUM(P340:P343)</f>
        <v>21740</v>
      </c>
      <c r="Q344" s="282">
        <f t="shared" si="70"/>
        <v>4782.8</v>
      </c>
      <c r="R344" s="282">
        <f>SUM(R340:R343)</f>
        <v>26522.799999999999</v>
      </c>
      <c r="S344" s="286">
        <f>R344/100*10</f>
        <v>2652.28</v>
      </c>
      <c r="T344" s="104">
        <v>19</v>
      </c>
      <c r="U344" s="304"/>
    </row>
    <row r="345" spans="1:21" ht="45" customHeight="1" x14ac:dyDescent="0.35">
      <c r="A345" s="218" t="s">
        <v>2630</v>
      </c>
      <c r="B345" s="3">
        <v>322</v>
      </c>
      <c r="C345" s="44">
        <v>10112546</v>
      </c>
      <c r="D345" s="18" t="s">
        <v>1501</v>
      </c>
      <c r="E345" s="19" t="s">
        <v>2219</v>
      </c>
      <c r="F345" s="12">
        <v>1</v>
      </c>
      <c r="G345" s="3" t="s">
        <v>0</v>
      </c>
      <c r="H345" s="39">
        <v>41316</v>
      </c>
      <c r="I345" s="27" t="s">
        <v>984</v>
      </c>
      <c r="J345" s="4" t="s">
        <v>1962</v>
      </c>
      <c r="K345" s="4" t="s">
        <v>988</v>
      </c>
      <c r="L345" s="29" t="s">
        <v>977</v>
      </c>
      <c r="M345" s="78">
        <f t="shared" si="69"/>
        <v>1135.3699999999999</v>
      </c>
      <c r="N345" s="78">
        <f>O345/F345</f>
        <v>1135.3699999999999</v>
      </c>
      <c r="O345" s="78">
        <v>1135.3699999999999</v>
      </c>
      <c r="P345" s="72">
        <v>2010</v>
      </c>
      <c r="Q345" s="256">
        <f>R345-P345</f>
        <v>442.2</v>
      </c>
      <c r="R345" s="256">
        <f>P345*1.22</f>
        <v>2452.1999999999998</v>
      </c>
      <c r="S345" s="289"/>
      <c r="T345" s="3">
        <v>20</v>
      </c>
      <c r="U345" s="292" t="s">
        <v>2314</v>
      </c>
    </row>
    <row r="346" spans="1:21" ht="45" customHeight="1" x14ac:dyDescent="0.35">
      <c r="A346" s="218" t="s">
        <v>2631</v>
      </c>
      <c r="B346" s="3">
        <v>323</v>
      </c>
      <c r="C346" s="44">
        <v>10105593</v>
      </c>
      <c r="D346" s="18" t="s">
        <v>1502</v>
      </c>
      <c r="E346" s="19" t="s">
        <v>2219</v>
      </c>
      <c r="F346" s="12">
        <v>1</v>
      </c>
      <c r="G346" s="3" t="s">
        <v>0</v>
      </c>
      <c r="H346" s="39">
        <v>41465</v>
      </c>
      <c r="I346" s="27" t="s">
        <v>984</v>
      </c>
      <c r="J346" s="4" t="s">
        <v>1962</v>
      </c>
      <c r="K346" s="4" t="s">
        <v>988</v>
      </c>
      <c r="L346" s="29" t="s">
        <v>977</v>
      </c>
      <c r="M346" s="78">
        <f t="shared" si="69"/>
        <v>180</v>
      </c>
      <c r="N346" s="78">
        <f>O346/F346</f>
        <v>180</v>
      </c>
      <c r="O346" s="78">
        <v>180</v>
      </c>
      <c r="P346" s="72">
        <v>320</v>
      </c>
      <c r="Q346" s="256">
        <f>R346-P346</f>
        <v>70.400000000000006</v>
      </c>
      <c r="R346" s="256">
        <f>P346*1.22</f>
        <v>390.4</v>
      </c>
      <c r="S346" s="296"/>
      <c r="T346" s="3">
        <v>20</v>
      </c>
      <c r="U346" s="293"/>
    </row>
    <row r="347" spans="1:21" ht="45" customHeight="1" x14ac:dyDescent="0.35">
      <c r="A347" s="218" t="s">
        <v>2632</v>
      </c>
      <c r="B347" s="3">
        <v>324</v>
      </c>
      <c r="C347" s="44">
        <v>10120423</v>
      </c>
      <c r="D347" s="18" t="s">
        <v>1513</v>
      </c>
      <c r="E347" s="19" t="s">
        <v>2219</v>
      </c>
      <c r="F347" s="12">
        <v>2</v>
      </c>
      <c r="G347" s="3" t="s">
        <v>0</v>
      </c>
      <c r="H347" s="39">
        <v>41247</v>
      </c>
      <c r="I347" s="27" t="s">
        <v>984</v>
      </c>
      <c r="J347" s="4" t="s">
        <v>1962</v>
      </c>
      <c r="K347" s="4" t="s">
        <v>988</v>
      </c>
      <c r="L347" s="29" t="s">
        <v>977</v>
      </c>
      <c r="M347" s="78">
        <f t="shared" si="69"/>
        <v>1671.18</v>
      </c>
      <c r="N347" s="78">
        <f>O347/F347</f>
        <v>835.59</v>
      </c>
      <c r="O347" s="78">
        <v>1671.18</v>
      </c>
      <c r="P347" s="72">
        <v>2840</v>
      </c>
      <c r="Q347" s="256">
        <f>R347-P347</f>
        <v>624.79999999999995</v>
      </c>
      <c r="R347" s="256">
        <f>P347*1.22</f>
        <v>3464.8</v>
      </c>
      <c r="S347" s="296"/>
      <c r="T347" s="3">
        <v>20</v>
      </c>
      <c r="U347" s="293"/>
    </row>
    <row r="348" spans="1:21" ht="35.25" customHeight="1" x14ac:dyDescent="0.35">
      <c r="A348" s="218" t="s">
        <v>2633</v>
      </c>
      <c r="B348" s="3">
        <v>325</v>
      </c>
      <c r="C348" s="44">
        <v>10120445</v>
      </c>
      <c r="D348" s="18" t="s">
        <v>1782</v>
      </c>
      <c r="E348" s="18" t="s">
        <v>2027</v>
      </c>
      <c r="F348" s="12">
        <v>12</v>
      </c>
      <c r="G348" s="3" t="s">
        <v>0</v>
      </c>
      <c r="H348" s="39">
        <v>41621</v>
      </c>
      <c r="I348" s="27" t="s">
        <v>984</v>
      </c>
      <c r="J348" s="4" t="s">
        <v>1962</v>
      </c>
      <c r="K348" s="4" t="s">
        <v>988</v>
      </c>
      <c r="L348" s="29" t="s">
        <v>977</v>
      </c>
      <c r="M348" s="78">
        <f t="shared" si="69"/>
        <v>12182.52</v>
      </c>
      <c r="N348" s="78">
        <f>O348/F348</f>
        <v>1015.21</v>
      </c>
      <c r="O348" s="78">
        <v>12182.52</v>
      </c>
      <c r="P348" s="72">
        <v>20060</v>
      </c>
      <c r="Q348" s="256">
        <f>R348-P348</f>
        <v>4413.2</v>
      </c>
      <c r="R348" s="256">
        <f>P348*1.22</f>
        <v>24473.200000000001</v>
      </c>
      <c r="S348" s="296"/>
      <c r="T348" s="3">
        <v>20</v>
      </c>
      <c r="U348" s="293"/>
    </row>
    <row r="349" spans="1:21" ht="35.25" customHeight="1" x14ac:dyDescent="0.35">
      <c r="A349" s="218" t="s">
        <v>4173</v>
      </c>
      <c r="B349" s="3">
        <v>326</v>
      </c>
      <c r="C349" s="44">
        <v>10113475</v>
      </c>
      <c r="D349" s="18" t="s">
        <v>919</v>
      </c>
      <c r="E349" s="19" t="s">
        <v>2219</v>
      </c>
      <c r="F349" s="12">
        <v>20</v>
      </c>
      <c r="G349" s="3" t="s">
        <v>0</v>
      </c>
      <c r="H349" s="39">
        <v>41997</v>
      </c>
      <c r="I349" s="27" t="s">
        <v>984</v>
      </c>
      <c r="J349" s="4" t="s">
        <v>1962</v>
      </c>
      <c r="K349" s="4" t="s">
        <v>988</v>
      </c>
      <c r="L349" s="29" t="s">
        <v>977</v>
      </c>
      <c r="M349" s="78">
        <f t="shared" si="69"/>
        <v>197816.8</v>
      </c>
      <c r="N349" s="78">
        <f>O349/F349</f>
        <v>9890.84</v>
      </c>
      <c r="O349" s="78">
        <v>197816.8</v>
      </c>
      <c r="P349" s="72">
        <v>327930</v>
      </c>
      <c r="Q349" s="256">
        <f>R349-P349</f>
        <v>72144.600000000006</v>
      </c>
      <c r="R349" s="256">
        <f>P349*1.22</f>
        <v>400074.6</v>
      </c>
      <c r="S349" s="297"/>
      <c r="T349" s="3">
        <v>20</v>
      </c>
      <c r="U349" s="293"/>
    </row>
    <row r="350" spans="1:21" ht="15" customHeight="1" x14ac:dyDescent="0.35">
      <c r="A350" s="218"/>
      <c r="B350" s="94"/>
      <c r="C350" s="44"/>
      <c r="D350" s="18"/>
      <c r="E350" s="141"/>
      <c r="F350" s="142"/>
      <c r="G350" s="3"/>
      <c r="H350" s="39"/>
      <c r="I350" s="27"/>
      <c r="J350" s="4"/>
      <c r="K350" s="4"/>
      <c r="L350" s="29"/>
      <c r="M350" s="78"/>
      <c r="N350" s="78"/>
      <c r="O350" s="201">
        <f>SUM(O345:O349)</f>
        <v>212985.87</v>
      </c>
      <c r="P350" s="276">
        <f t="shared" ref="P350:Q350" si="71">SUM(P345:P349)</f>
        <v>353160</v>
      </c>
      <c r="Q350" s="282">
        <f t="shared" si="71"/>
        <v>77695.199999999997</v>
      </c>
      <c r="R350" s="282">
        <f>SUM(R345:R349)</f>
        <v>430855.2</v>
      </c>
      <c r="S350" s="286">
        <f>R350/100*10</f>
        <v>43085.52</v>
      </c>
      <c r="T350" s="104">
        <v>20</v>
      </c>
      <c r="U350" s="304"/>
    </row>
    <row r="351" spans="1:21" ht="39" customHeight="1" x14ac:dyDescent="0.35">
      <c r="A351" s="218" t="s">
        <v>2634</v>
      </c>
      <c r="B351" s="3">
        <v>327</v>
      </c>
      <c r="C351" s="44">
        <v>10113494</v>
      </c>
      <c r="D351" s="18" t="s">
        <v>394</v>
      </c>
      <c r="E351" s="18" t="s">
        <v>2197</v>
      </c>
      <c r="F351" s="12">
        <v>7</v>
      </c>
      <c r="G351" s="3" t="s">
        <v>0</v>
      </c>
      <c r="H351" s="5" t="s">
        <v>521</v>
      </c>
      <c r="I351" s="5" t="s">
        <v>999</v>
      </c>
      <c r="J351" s="4" t="s">
        <v>1962</v>
      </c>
      <c r="K351" s="5" t="s">
        <v>988</v>
      </c>
      <c r="L351" s="5" t="s">
        <v>871</v>
      </c>
      <c r="M351" s="72">
        <f t="shared" si="69"/>
        <v>130013.08</v>
      </c>
      <c r="N351" s="72">
        <f t="shared" ref="N351:N359" si="72">O351/F351</f>
        <v>18573.3</v>
      </c>
      <c r="O351" s="72">
        <v>130013.08</v>
      </c>
      <c r="P351" s="72">
        <v>114800</v>
      </c>
      <c r="Q351" s="256">
        <f t="shared" ref="Q351:Q359" si="73">R351-P351</f>
        <v>25256</v>
      </c>
      <c r="R351" s="256">
        <f t="shared" ref="R351:R359" si="74">P351*1.22</f>
        <v>140056</v>
      </c>
      <c r="S351" s="289"/>
      <c r="T351" s="3">
        <v>21</v>
      </c>
      <c r="U351" s="292" t="s">
        <v>2314</v>
      </c>
    </row>
    <row r="352" spans="1:21" ht="29.25" customHeight="1" x14ac:dyDescent="0.35">
      <c r="A352" s="218" t="s">
        <v>2635</v>
      </c>
      <c r="B352" s="3">
        <v>328</v>
      </c>
      <c r="C352" s="58">
        <v>10113474</v>
      </c>
      <c r="D352" s="21" t="s">
        <v>916</v>
      </c>
      <c r="E352" s="18" t="s">
        <v>2197</v>
      </c>
      <c r="F352" s="22">
        <v>2</v>
      </c>
      <c r="G352" s="3" t="s">
        <v>0</v>
      </c>
      <c r="H352" s="33" t="s">
        <v>521</v>
      </c>
      <c r="I352" s="4" t="s">
        <v>999</v>
      </c>
      <c r="J352" s="4" t="s">
        <v>1962</v>
      </c>
      <c r="K352" s="4" t="s">
        <v>988</v>
      </c>
      <c r="L352" s="5" t="s">
        <v>871</v>
      </c>
      <c r="M352" s="72">
        <f t="shared" si="69"/>
        <v>189055.98</v>
      </c>
      <c r="N352" s="72">
        <f t="shared" si="72"/>
        <v>94527.99</v>
      </c>
      <c r="O352" s="72">
        <v>189055.98</v>
      </c>
      <c r="P352" s="72">
        <v>166340</v>
      </c>
      <c r="Q352" s="256">
        <f t="shared" si="73"/>
        <v>36594.800000000003</v>
      </c>
      <c r="R352" s="256">
        <f t="shared" si="74"/>
        <v>202934.8</v>
      </c>
      <c r="S352" s="296"/>
      <c r="T352" s="3">
        <v>21</v>
      </c>
      <c r="U352" s="293"/>
    </row>
    <row r="353" spans="1:21" ht="35.25" customHeight="1" x14ac:dyDescent="0.35">
      <c r="A353" s="218" t="s">
        <v>2636</v>
      </c>
      <c r="B353" s="3">
        <v>329</v>
      </c>
      <c r="C353" s="58">
        <v>10113544</v>
      </c>
      <c r="D353" s="21" t="s">
        <v>917</v>
      </c>
      <c r="E353" s="18" t="s">
        <v>2197</v>
      </c>
      <c r="F353" s="22">
        <v>10</v>
      </c>
      <c r="G353" s="3" t="s">
        <v>0</v>
      </c>
      <c r="H353" s="33" t="s">
        <v>521</v>
      </c>
      <c r="I353" s="4" t="s">
        <v>999</v>
      </c>
      <c r="J353" s="4" t="s">
        <v>1962</v>
      </c>
      <c r="K353" s="4" t="s">
        <v>988</v>
      </c>
      <c r="L353" s="5" t="s">
        <v>871</v>
      </c>
      <c r="M353" s="72">
        <f t="shared" si="69"/>
        <v>642597.39</v>
      </c>
      <c r="N353" s="72">
        <f t="shared" si="72"/>
        <v>64259.74</v>
      </c>
      <c r="O353" s="72">
        <v>642597.39</v>
      </c>
      <c r="P353" s="72">
        <v>563370</v>
      </c>
      <c r="Q353" s="256">
        <f t="shared" si="73"/>
        <v>123941.4</v>
      </c>
      <c r="R353" s="256">
        <f t="shared" si="74"/>
        <v>687311.4</v>
      </c>
      <c r="S353" s="296"/>
      <c r="T353" s="3">
        <v>21</v>
      </c>
      <c r="U353" s="293"/>
    </row>
    <row r="354" spans="1:21" ht="37.5" customHeight="1" x14ac:dyDescent="0.35">
      <c r="A354" s="218" t="s">
        <v>2637</v>
      </c>
      <c r="B354" s="3">
        <v>330</v>
      </c>
      <c r="C354" s="58">
        <v>10113546</v>
      </c>
      <c r="D354" s="21" t="s">
        <v>918</v>
      </c>
      <c r="E354" s="18" t="s">
        <v>2197</v>
      </c>
      <c r="F354" s="22">
        <v>5</v>
      </c>
      <c r="G354" s="3" t="s">
        <v>0</v>
      </c>
      <c r="H354" s="33" t="s">
        <v>521</v>
      </c>
      <c r="I354" s="4" t="s">
        <v>999</v>
      </c>
      <c r="J354" s="4" t="s">
        <v>1962</v>
      </c>
      <c r="K354" s="4" t="s">
        <v>988</v>
      </c>
      <c r="L354" s="5" t="s">
        <v>871</v>
      </c>
      <c r="M354" s="72">
        <f t="shared" si="69"/>
        <v>123206.75</v>
      </c>
      <c r="N354" s="72">
        <f t="shared" si="72"/>
        <v>24641.35</v>
      </c>
      <c r="O354" s="72">
        <v>123206.75</v>
      </c>
      <c r="P354" s="72">
        <v>107190</v>
      </c>
      <c r="Q354" s="256">
        <f t="shared" si="73"/>
        <v>23581.8</v>
      </c>
      <c r="R354" s="256">
        <f t="shared" si="74"/>
        <v>130771.8</v>
      </c>
      <c r="S354" s="296"/>
      <c r="T354" s="3">
        <v>21</v>
      </c>
      <c r="U354" s="293"/>
    </row>
    <row r="355" spans="1:21" ht="37.5" customHeight="1" x14ac:dyDescent="0.35">
      <c r="A355" s="218" t="s">
        <v>2638</v>
      </c>
      <c r="B355" s="3">
        <v>331</v>
      </c>
      <c r="C355" s="58">
        <v>10113475</v>
      </c>
      <c r="D355" s="21" t="s">
        <v>919</v>
      </c>
      <c r="E355" s="18" t="s">
        <v>2197</v>
      </c>
      <c r="F355" s="22">
        <v>4</v>
      </c>
      <c r="G355" s="3" t="s">
        <v>0</v>
      </c>
      <c r="H355" s="33" t="s">
        <v>521</v>
      </c>
      <c r="I355" s="4" t="s">
        <v>999</v>
      </c>
      <c r="J355" s="4" t="s">
        <v>1962</v>
      </c>
      <c r="K355" s="4" t="s">
        <v>988</v>
      </c>
      <c r="L355" s="5" t="s">
        <v>871</v>
      </c>
      <c r="M355" s="72">
        <f t="shared" si="69"/>
        <v>45083.44</v>
      </c>
      <c r="N355" s="72">
        <f t="shared" si="72"/>
        <v>11270.86</v>
      </c>
      <c r="O355" s="72">
        <v>45083.44</v>
      </c>
      <c r="P355" s="72">
        <v>43960</v>
      </c>
      <c r="Q355" s="256">
        <f t="shared" si="73"/>
        <v>9671.2000000000007</v>
      </c>
      <c r="R355" s="256">
        <f t="shared" si="74"/>
        <v>53631.199999999997</v>
      </c>
      <c r="S355" s="296"/>
      <c r="T355" s="3">
        <v>21</v>
      </c>
      <c r="U355" s="293"/>
    </row>
    <row r="356" spans="1:21" ht="37.5" customHeight="1" x14ac:dyDescent="0.35">
      <c r="A356" s="218" t="s">
        <v>2639</v>
      </c>
      <c r="B356" s="3">
        <v>332</v>
      </c>
      <c r="C356" s="68">
        <v>102002168</v>
      </c>
      <c r="D356" s="24" t="s">
        <v>422</v>
      </c>
      <c r="E356" s="74" t="s">
        <v>2238</v>
      </c>
      <c r="F356" s="91">
        <v>1</v>
      </c>
      <c r="G356" s="3" t="s">
        <v>0</v>
      </c>
      <c r="H356" s="54">
        <v>41974</v>
      </c>
      <c r="I356" s="4" t="s">
        <v>989</v>
      </c>
      <c r="J356" s="4" t="s">
        <v>1962</v>
      </c>
      <c r="K356" s="23" t="s">
        <v>422</v>
      </c>
      <c r="L356" s="6" t="s">
        <v>871</v>
      </c>
      <c r="M356" s="81">
        <f t="shared" si="69"/>
        <v>76487.13</v>
      </c>
      <c r="N356" s="81">
        <f t="shared" si="72"/>
        <v>76487.13</v>
      </c>
      <c r="O356" s="81">
        <v>76487.13</v>
      </c>
      <c r="P356" s="72">
        <v>74590</v>
      </c>
      <c r="Q356" s="256">
        <f t="shared" si="73"/>
        <v>16409.8</v>
      </c>
      <c r="R356" s="256">
        <f t="shared" si="74"/>
        <v>90999.8</v>
      </c>
      <c r="S356" s="296"/>
      <c r="T356" s="3">
        <v>21</v>
      </c>
      <c r="U356" s="293"/>
    </row>
    <row r="357" spans="1:21" ht="37.5" customHeight="1" x14ac:dyDescent="0.35">
      <c r="A357" s="218" t="s">
        <v>2640</v>
      </c>
      <c r="B357" s="3">
        <v>333</v>
      </c>
      <c r="C357" s="68">
        <v>10021996</v>
      </c>
      <c r="D357" s="24" t="s">
        <v>1134</v>
      </c>
      <c r="E357" s="74" t="s">
        <v>2238</v>
      </c>
      <c r="F357" s="91">
        <v>1</v>
      </c>
      <c r="G357" s="3" t="s">
        <v>0</v>
      </c>
      <c r="H357" s="54">
        <v>41974</v>
      </c>
      <c r="I357" s="4" t="s">
        <v>989</v>
      </c>
      <c r="J357" s="4" t="s">
        <v>1962</v>
      </c>
      <c r="K357" s="23" t="s">
        <v>1134</v>
      </c>
      <c r="L357" s="6" t="s">
        <v>871</v>
      </c>
      <c r="M357" s="81">
        <f t="shared" si="69"/>
        <v>4909.58</v>
      </c>
      <c r="N357" s="81">
        <f t="shared" si="72"/>
        <v>4909.58</v>
      </c>
      <c r="O357" s="81">
        <v>4909.58</v>
      </c>
      <c r="P357" s="72">
        <v>4790</v>
      </c>
      <c r="Q357" s="256">
        <f t="shared" si="73"/>
        <v>1053.8</v>
      </c>
      <c r="R357" s="256">
        <f t="shared" si="74"/>
        <v>5843.8</v>
      </c>
      <c r="S357" s="296"/>
      <c r="T357" s="3">
        <v>21</v>
      </c>
      <c r="U357" s="293"/>
    </row>
    <row r="358" spans="1:21" ht="28" customHeight="1" x14ac:dyDescent="0.35">
      <c r="A358" s="218" t="s">
        <v>2641</v>
      </c>
      <c r="B358" s="3">
        <v>334</v>
      </c>
      <c r="C358" s="68">
        <v>10023601</v>
      </c>
      <c r="D358" s="24" t="s">
        <v>1135</v>
      </c>
      <c r="E358" s="74" t="s">
        <v>2238</v>
      </c>
      <c r="F358" s="91">
        <v>1</v>
      </c>
      <c r="G358" s="3" t="s">
        <v>0</v>
      </c>
      <c r="H358" s="54">
        <v>41974</v>
      </c>
      <c r="I358" s="4" t="s">
        <v>989</v>
      </c>
      <c r="J358" s="4" t="s">
        <v>1962</v>
      </c>
      <c r="K358" s="23" t="s">
        <v>1135</v>
      </c>
      <c r="L358" s="6" t="s">
        <v>871</v>
      </c>
      <c r="M358" s="80">
        <f t="shared" si="69"/>
        <v>65122.19</v>
      </c>
      <c r="N358" s="102">
        <f t="shared" si="72"/>
        <v>65122.19</v>
      </c>
      <c r="O358" s="81">
        <v>65122.19</v>
      </c>
      <c r="P358" s="72">
        <v>63500</v>
      </c>
      <c r="Q358" s="256">
        <f t="shared" si="73"/>
        <v>13970</v>
      </c>
      <c r="R358" s="256">
        <f t="shared" si="74"/>
        <v>77470</v>
      </c>
      <c r="S358" s="296"/>
      <c r="T358" s="3">
        <v>21</v>
      </c>
      <c r="U358" s="293"/>
    </row>
    <row r="359" spans="1:21" ht="28.5" customHeight="1" x14ac:dyDescent="0.35">
      <c r="A359" s="218" t="s">
        <v>2642</v>
      </c>
      <c r="B359" s="3">
        <v>335</v>
      </c>
      <c r="C359" s="68">
        <v>10023599</v>
      </c>
      <c r="D359" s="24" t="s">
        <v>1136</v>
      </c>
      <c r="E359" s="74" t="s">
        <v>2238</v>
      </c>
      <c r="F359" s="91">
        <v>1</v>
      </c>
      <c r="G359" s="3" t="s">
        <v>0</v>
      </c>
      <c r="H359" s="54">
        <v>41974</v>
      </c>
      <c r="I359" s="4" t="s">
        <v>989</v>
      </c>
      <c r="J359" s="4" t="s">
        <v>1962</v>
      </c>
      <c r="K359" s="23" t="s">
        <v>1136</v>
      </c>
      <c r="L359" s="6" t="s">
        <v>871</v>
      </c>
      <c r="M359" s="81">
        <f t="shared" si="69"/>
        <v>3293.79</v>
      </c>
      <c r="N359" s="81">
        <f t="shared" si="72"/>
        <v>3293.79</v>
      </c>
      <c r="O359" s="81">
        <v>3293.79</v>
      </c>
      <c r="P359" s="72">
        <v>3210</v>
      </c>
      <c r="Q359" s="256">
        <f t="shared" si="73"/>
        <v>706.2</v>
      </c>
      <c r="R359" s="256">
        <f t="shared" si="74"/>
        <v>3916.2</v>
      </c>
      <c r="S359" s="297"/>
      <c r="T359" s="3">
        <v>21</v>
      </c>
      <c r="U359" s="293"/>
    </row>
    <row r="360" spans="1:21" ht="14.25" customHeight="1" x14ac:dyDescent="0.35">
      <c r="A360" s="218"/>
      <c r="B360" s="94"/>
      <c r="C360" s="68"/>
      <c r="D360" s="24"/>
      <c r="E360" s="74"/>
      <c r="F360" s="91"/>
      <c r="G360" s="3"/>
      <c r="H360" s="54"/>
      <c r="I360" s="4"/>
      <c r="J360" s="4"/>
      <c r="K360" s="23"/>
      <c r="L360" s="6"/>
      <c r="M360" s="81"/>
      <c r="N360" s="81"/>
      <c r="O360" s="109">
        <f>SUM(O351:O359)</f>
        <v>1279769.33</v>
      </c>
      <c r="P360" s="276">
        <f t="shared" ref="P360:Q360" si="75">SUM(P351:P359)</f>
        <v>1141750</v>
      </c>
      <c r="Q360" s="282">
        <f t="shared" si="75"/>
        <v>251185</v>
      </c>
      <c r="R360" s="282">
        <f>SUM(R351:R359)</f>
        <v>1392935</v>
      </c>
      <c r="S360" s="286">
        <f>R360/100*10</f>
        <v>139293.5</v>
      </c>
      <c r="T360" s="104">
        <v>21</v>
      </c>
      <c r="U360" s="304"/>
    </row>
    <row r="361" spans="1:21" ht="24.75" customHeight="1" x14ac:dyDescent="0.35">
      <c r="A361" s="218" t="s">
        <v>2643</v>
      </c>
      <c r="B361" s="3">
        <v>336</v>
      </c>
      <c r="C361" s="44">
        <v>10132154</v>
      </c>
      <c r="D361" s="18" t="s">
        <v>1558</v>
      </c>
      <c r="E361" s="18" t="s">
        <v>2027</v>
      </c>
      <c r="F361" s="12">
        <f>5-2</f>
        <v>3</v>
      </c>
      <c r="G361" s="3" t="s">
        <v>0</v>
      </c>
      <c r="H361" s="39">
        <v>40998</v>
      </c>
      <c r="I361" s="27" t="s">
        <v>984</v>
      </c>
      <c r="J361" s="4" t="s">
        <v>1962</v>
      </c>
      <c r="K361" s="4" t="s">
        <v>988</v>
      </c>
      <c r="L361" s="29" t="s">
        <v>977</v>
      </c>
      <c r="M361" s="78">
        <f>O361</f>
        <v>17.07</v>
      </c>
      <c r="N361" s="78">
        <v>5.69</v>
      </c>
      <c r="O361" s="78">
        <f>28.45/5*3</f>
        <v>17.07</v>
      </c>
      <c r="P361" s="72">
        <v>10</v>
      </c>
      <c r="Q361" s="256">
        <f t="shared" ref="Q361:Q383" si="76">R361-P361</f>
        <v>2.2000000000000002</v>
      </c>
      <c r="R361" s="256">
        <f t="shared" ref="R361:R383" si="77">P361*1.22</f>
        <v>12.2</v>
      </c>
      <c r="S361" s="289"/>
      <c r="T361" s="3">
        <v>22</v>
      </c>
      <c r="U361" s="292" t="s">
        <v>2315</v>
      </c>
    </row>
    <row r="362" spans="1:21" ht="30" customHeight="1" x14ac:dyDescent="0.35">
      <c r="A362" s="218" t="s">
        <v>2644</v>
      </c>
      <c r="B362" s="3">
        <v>337</v>
      </c>
      <c r="C362" s="44">
        <v>10105891</v>
      </c>
      <c r="D362" s="18" t="s">
        <v>1566</v>
      </c>
      <c r="E362" s="18" t="s">
        <v>2027</v>
      </c>
      <c r="F362" s="12">
        <v>30</v>
      </c>
      <c r="G362" s="3" t="s">
        <v>0</v>
      </c>
      <c r="H362" s="39">
        <v>40697</v>
      </c>
      <c r="I362" s="27" t="s">
        <v>984</v>
      </c>
      <c r="J362" s="4" t="s">
        <v>1962</v>
      </c>
      <c r="K362" s="4" t="s">
        <v>988</v>
      </c>
      <c r="L362" s="29" t="s">
        <v>977</v>
      </c>
      <c r="M362" s="78">
        <v>170612.73</v>
      </c>
      <c r="N362" s="78">
        <v>5687.09</v>
      </c>
      <c r="O362" s="78">
        <v>170612.73</v>
      </c>
      <c r="P362" s="72">
        <v>151140</v>
      </c>
      <c r="Q362" s="256">
        <f t="shared" si="76"/>
        <v>33250.800000000003</v>
      </c>
      <c r="R362" s="256">
        <f t="shared" si="77"/>
        <v>184390.8</v>
      </c>
      <c r="S362" s="296"/>
      <c r="T362" s="3">
        <v>22</v>
      </c>
      <c r="U362" s="293"/>
    </row>
    <row r="363" spans="1:21" ht="30" customHeight="1" x14ac:dyDescent="0.35">
      <c r="A363" s="218" t="s">
        <v>2645</v>
      </c>
      <c r="B363" s="3">
        <v>338</v>
      </c>
      <c r="C363" s="44">
        <v>10105892</v>
      </c>
      <c r="D363" s="18" t="s">
        <v>1567</v>
      </c>
      <c r="E363" s="18" t="s">
        <v>2027</v>
      </c>
      <c r="F363" s="12">
        <v>22</v>
      </c>
      <c r="G363" s="3" t="s">
        <v>0</v>
      </c>
      <c r="H363" s="39">
        <v>40697</v>
      </c>
      <c r="I363" s="27" t="s">
        <v>984</v>
      </c>
      <c r="J363" s="4" t="s">
        <v>1962</v>
      </c>
      <c r="K363" s="4" t="s">
        <v>988</v>
      </c>
      <c r="L363" s="29" t="s">
        <v>977</v>
      </c>
      <c r="M363" s="78">
        <v>116772.97</v>
      </c>
      <c r="N363" s="78">
        <v>5307.86</v>
      </c>
      <c r="O363" s="78">
        <v>116772.97</v>
      </c>
      <c r="P363" s="72">
        <v>103440</v>
      </c>
      <c r="Q363" s="256">
        <f t="shared" si="76"/>
        <v>22756.799999999999</v>
      </c>
      <c r="R363" s="256">
        <f t="shared" si="77"/>
        <v>126196.8</v>
      </c>
      <c r="S363" s="296"/>
      <c r="T363" s="3">
        <v>22</v>
      </c>
      <c r="U363" s="293"/>
    </row>
    <row r="364" spans="1:21" ht="30" customHeight="1" x14ac:dyDescent="0.35">
      <c r="A364" s="218" t="s">
        <v>2646</v>
      </c>
      <c r="B364" s="3">
        <v>339</v>
      </c>
      <c r="C364" s="44">
        <v>10022961</v>
      </c>
      <c r="D364" s="18" t="s">
        <v>1568</v>
      </c>
      <c r="E364" s="18" t="s">
        <v>2027</v>
      </c>
      <c r="F364" s="12">
        <v>7</v>
      </c>
      <c r="G364" s="3" t="s">
        <v>0</v>
      </c>
      <c r="H364" s="39">
        <v>41141</v>
      </c>
      <c r="I364" s="27" t="s">
        <v>984</v>
      </c>
      <c r="J364" s="4" t="s">
        <v>1962</v>
      </c>
      <c r="K364" s="4" t="s">
        <v>988</v>
      </c>
      <c r="L364" s="29" t="s">
        <v>977</v>
      </c>
      <c r="M364" s="78">
        <v>22093.38</v>
      </c>
      <c r="N364" s="78">
        <v>3156.2</v>
      </c>
      <c r="O364" s="78">
        <v>22093.38</v>
      </c>
      <c r="P364" s="72">
        <v>19220</v>
      </c>
      <c r="Q364" s="256">
        <f t="shared" si="76"/>
        <v>4228.3999999999996</v>
      </c>
      <c r="R364" s="256">
        <f t="shared" si="77"/>
        <v>23448.400000000001</v>
      </c>
      <c r="S364" s="296"/>
      <c r="T364" s="3">
        <v>22</v>
      </c>
      <c r="U364" s="293"/>
    </row>
    <row r="365" spans="1:21" ht="30" customHeight="1" x14ac:dyDescent="0.35">
      <c r="A365" s="218" t="s">
        <v>2647</v>
      </c>
      <c r="B365" s="3">
        <v>340</v>
      </c>
      <c r="C365" s="44">
        <v>10022963</v>
      </c>
      <c r="D365" s="18" t="s">
        <v>1569</v>
      </c>
      <c r="E365" s="18" t="s">
        <v>2027</v>
      </c>
      <c r="F365" s="12">
        <v>12</v>
      </c>
      <c r="G365" s="3" t="s">
        <v>0</v>
      </c>
      <c r="H365" s="39">
        <v>41275</v>
      </c>
      <c r="I365" s="27" t="s">
        <v>984</v>
      </c>
      <c r="J365" s="4" t="s">
        <v>1962</v>
      </c>
      <c r="K365" s="4" t="s">
        <v>988</v>
      </c>
      <c r="L365" s="29" t="s">
        <v>977</v>
      </c>
      <c r="M365" s="78">
        <v>54685.95</v>
      </c>
      <c r="N365" s="78">
        <v>4557.16</v>
      </c>
      <c r="O365" s="78">
        <v>54685.95</v>
      </c>
      <c r="P365" s="72">
        <v>47910</v>
      </c>
      <c r="Q365" s="256">
        <f t="shared" si="76"/>
        <v>10540.2</v>
      </c>
      <c r="R365" s="256">
        <f t="shared" si="77"/>
        <v>58450.2</v>
      </c>
      <c r="S365" s="296"/>
      <c r="T365" s="3">
        <v>22</v>
      </c>
      <c r="U365" s="293"/>
    </row>
    <row r="366" spans="1:21" ht="30" customHeight="1" x14ac:dyDescent="0.35">
      <c r="A366" s="218" t="s">
        <v>2648</v>
      </c>
      <c r="B366" s="3">
        <v>341</v>
      </c>
      <c r="C366" s="44">
        <v>10128215</v>
      </c>
      <c r="D366" s="18" t="s">
        <v>1577</v>
      </c>
      <c r="E366" s="18" t="s">
        <v>2027</v>
      </c>
      <c r="F366" s="12">
        <v>1</v>
      </c>
      <c r="G366" s="3" t="s">
        <v>0</v>
      </c>
      <c r="H366" s="39">
        <v>40889</v>
      </c>
      <c r="I366" s="27" t="s">
        <v>984</v>
      </c>
      <c r="J366" s="4" t="s">
        <v>1962</v>
      </c>
      <c r="K366" s="4" t="s">
        <v>988</v>
      </c>
      <c r="L366" s="29" t="s">
        <v>977</v>
      </c>
      <c r="M366" s="78">
        <f t="shared" ref="M366:M430" si="78">O366</f>
        <v>1375.49</v>
      </c>
      <c r="N366" s="78">
        <f t="shared" ref="N366:N376" si="79">O366/F366</f>
        <v>1375.49</v>
      </c>
      <c r="O366" s="78">
        <v>1375.49</v>
      </c>
      <c r="P366" s="72">
        <v>1200</v>
      </c>
      <c r="Q366" s="256">
        <f t="shared" si="76"/>
        <v>264</v>
      </c>
      <c r="R366" s="256">
        <f t="shared" si="77"/>
        <v>1464</v>
      </c>
      <c r="S366" s="296"/>
      <c r="T366" s="3">
        <v>22</v>
      </c>
      <c r="U366" s="293"/>
    </row>
    <row r="367" spans="1:21" ht="30" customHeight="1" x14ac:dyDescent="0.35">
      <c r="A367" s="218" t="s">
        <v>2649</v>
      </c>
      <c r="B367" s="3">
        <v>342</v>
      </c>
      <c r="C367" s="44">
        <v>10134908</v>
      </c>
      <c r="D367" s="18" t="s">
        <v>1584</v>
      </c>
      <c r="E367" s="18" t="s">
        <v>2027</v>
      </c>
      <c r="F367" s="12">
        <v>24</v>
      </c>
      <c r="G367" s="3" t="s">
        <v>0</v>
      </c>
      <c r="H367" s="39">
        <v>41563</v>
      </c>
      <c r="I367" s="27" t="s">
        <v>984</v>
      </c>
      <c r="J367" s="4" t="s">
        <v>1962</v>
      </c>
      <c r="K367" s="4" t="s">
        <v>988</v>
      </c>
      <c r="L367" s="29" t="s">
        <v>977</v>
      </c>
      <c r="M367" s="78">
        <f t="shared" si="78"/>
        <v>1579.68</v>
      </c>
      <c r="N367" s="78">
        <f t="shared" si="79"/>
        <v>65.819999999999993</v>
      </c>
      <c r="O367" s="78">
        <v>1579.68</v>
      </c>
      <c r="P367" s="72">
        <v>1380</v>
      </c>
      <c r="Q367" s="256">
        <f t="shared" si="76"/>
        <v>303.60000000000002</v>
      </c>
      <c r="R367" s="256">
        <f t="shared" si="77"/>
        <v>1683.6</v>
      </c>
      <c r="S367" s="296"/>
      <c r="T367" s="3">
        <v>22</v>
      </c>
      <c r="U367" s="293"/>
    </row>
    <row r="368" spans="1:21" ht="30" customHeight="1" x14ac:dyDescent="0.35">
      <c r="A368" s="218" t="s">
        <v>2650</v>
      </c>
      <c r="B368" s="3">
        <v>343</v>
      </c>
      <c r="C368" s="44">
        <v>10131575</v>
      </c>
      <c r="D368" s="18" t="s">
        <v>1655</v>
      </c>
      <c r="E368" s="18" t="s">
        <v>2027</v>
      </c>
      <c r="F368" s="12">
        <v>4</v>
      </c>
      <c r="G368" s="3" t="s">
        <v>0</v>
      </c>
      <c r="H368" s="39">
        <v>41431</v>
      </c>
      <c r="I368" s="27" t="s">
        <v>984</v>
      </c>
      <c r="J368" s="4" t="s">
        <v>1962</v>
      </c>
      <c r="K368" s="4" t="s">
        <v>988</v>
      </c>
      <c r="L368" s="29" t="s">
        <v>977</v>
      </c>
      <c r="M368" s="78">
        <f t="shared" si="78"/>
        <v>24720</v>
      </c>
      <c r="N368" s="78">
        <f t="shared" si="79"/>
        <v>6180</v>
      </c>
      <c r="O368" s="78">
        <v>24720</v>
      </c>
      <c r="P368" s="72">
        <v>21510</v>
      </c>
      <c r="Q368" s="256">
        <f t="shared" si="76"/>
        <v>4732.2</v>
      </c>
      <c r="R368" s="256">
        <f t="shared" si="77"/>
        <v>26242.2</v>
      </c>
      <c r="S368" s="296"/>
      <c r="T368" s="3">
        <v>22</v>
      </c>
      <c r="U368" s="293"/>
    </row>
    <row r="369" spans="1:21" ht="30" customHeight="1" x14ac:dyDescent="0.35">
      <c r="A369" s="218" t="s">
        <v>2651</v>
      </c>
      <c r="B369" s="3">
        <v>344</v>
      </c>
      <c r="C369" s="44">
        <v>10010743</v>
      </c>
      <c r="D369" s="18" t="s">
        <v>1656</v>
      </c>
      <c r="E369" s="18" t="s">
        <v>2027</v>
      </c>
      <c r="F369" s="12">
        <v>1</v>
      </c>
      <c r="G369" s="3" t="s">
        <v>0</v>
      </c>
      <c r="H369" s="39">
        <v>41431</v>
      </c>
      <c r="I369" s="27" t="s">
        <v>984</v>
      </c>
      <c r="J369" s="4" t="s">
        <v>1962</v>
      </c>
      <c r="K369" s="4" t="s">
        <v>988</v>
      </c>
      <c r="L369" s="29" t="s">
        <v>977</v>
      </c>
      <c r="M369" s="78">
        <f t="shared" si="78"/>
        <v>3816.84</v>
      </c>
      <c r="N369" s="78">
        <f t="shared" si="79"/>
        <v>3816.84</v>
      </c>
      <c r="O369" s="78">
        <v>3816.84</v>
      </c>
      <c r="P369" s="72">
        <v>3320</v>
      </c>
      <c r="Q369" s="256">
        <f t="shared" si="76"/>
        <v>730.4</v>
      </c>
      <c r="R369" s="256">
        <f t="shared" si="77"/>
        <v>4050.4</v>
      </c>
      <c r="S369" s="296"/>
      <c r="T369" s="3">
        <v>22</v>
      </c>
      <c r="U369" s="293"/>
    </row>
    <row r="370" spans="1:21" ht="30" customHeight="1" x14ac:dyDescent="0.35">
      <c r="A370" s="218" t="s">
        <v>2652</v>
      </c>
      <c r="B370" s="3">
        <v>345</v>
      </c>
      <c r="C370" s="44">
        <v>10122844</v>
      </c>
      <c r="D370" s="18" t="s">
        <v>1673</v>
      </c>
      <c r="E370" s="18" t="s">
        <v>2027</v>
      </c>
      <c r="F370" s="12">
        <v>6</v>
      </c>
      <c r="G370" s="3" t="s">
        <v>0</v>
      </c>
      <c r="H370" s="39">
        <v>40884</v>
      </c>
      <c r="I370" s="27" t="s">
        <v>984</v>
      </c>
      <c r="J370" s="4" t="s">
        <v>1962</v>
      </c>
      <c r="K370" s="4" t="s">
        <v>988</v>
      </c>
      <c r="L370" s="29" t="s">
        <v>977</v>
      </c>
      <c r="M370" s="78">
        <f t="shared" si="78"/>
        <v>2940.88</v>
      </c>
      <c r="N370" s="78">
        <f t="shared" si="79"/>
        <v>490.15</v>
      </c>
      <c r="O370" s="78">
        <v>2940.88</v>
      </c>
      <c r="P370" s="72">
        <v>2570</v>
      </c>
      <c r="Q370" s="256">
        <f t="shared" si="76"/>
        <v>565.4</v>
      </c>
      <c r="R370" s="256">
        <f t="shared" si="77"/>
        <v>3135.4</v>
      </c>
      <c r="S370" s="296"/>
      <c r="T370" s="3">
        <v>22</v>
      </c>
      <c r="U370" s="293"/>
    </row>
    <row r="371" spans="1:21" ht="30" customHeight="1" x14ac:dyDescent="0.35">
      <c r="A371" s="218" t="s">
        <v>2653</v>
      </c>
      <c r="B371" s="3">
        <v>346</v>
      </c>
      <c r="C371" s="44">
        <v>10098506</v>
      </c>
      <c r="D371" s="18" t="s">
        <v>1713</v>
      </c>
      <c r="E371" s="18" t="s">
        <v>2027</v>
      </c>
      <c r="F371" s="12">
        <v>12</v>
      </c>
      <c r="G371" s="3" t="s">
        <v>0</v>
      </c>
      <c r="H371" s="39">
        <v>41431</v>
      </c>
      <c r="I371" s="27" t="s">
        <v>984</v>
      </c>
      <c r="J371" s="4" t="s">
        <v>1962</v>
      </c>
      <c r="K371" s="4" t="s">
        <v>988</v>
      </c>
      <c r="L371" s="29" t="s">
        <v>977</v>
      </c>
      <c r="M371" s="78">
        <f t="shared" si="78"/>
        <v>30574.29</v>
      </c>
      <c r="N371" s="78">
        <f t="shared" si="79"/>
        <v>2547.86</v>
      </c>
      <c r="O371" s="78">
        <v>30574.29</v>
      </c>
      <c r="P371" s="72">
        <v>26610</v>
      </c>
      <c r="Q371" s="256">
        <f t="shared" si="76"/>
        <v>5854.2</v>
      </c>
      <c r="R371" s="256">
        <f t="shared" si="77"/>
        <v>32464.2</v>
      </c>
      <c r="S371" s="296"/>
      <c r="T371" s="3">
        <v>22</v>
      </c>
      <c r="U371" s="293"/>
    </row>
    <row r="372" spans="1:21" ht="30" customHeight="1" x14ac:dyDescent="0.35">
      <c r="A372" s="218" t="s">
        <v>2654</v>
      </c>
      <c r="B372" s="3">
        <v>347</v>
      </c>
      <c r="C372" s="44">
        <v>10017823</v>
      </c>
      <c r="D372" s="18" t="s">
        <v>1714</v>
      </c>
      <c r="E372" s="18" t="s">
        <v>2027</v>
      </c>
      <c r="F372" s="12">
        <v>10</v>
      </c>
      <c r="G372" s="3" t="s">
        <v>0</v>
      </c>
      <c r="H372" s="39">
        <v>41249</v>
      </c>
      <c r="I372" s="27" t="s">
        <v>984</v>
      </c>
      <c r="J372" s="4" t="s">
        <v>1962</v>
      </c>
      <c r="K372" s="4" t="s">
        <v>988</v>
      </c>
      <c r="L372" s="29" t="s">
        <v>977</v>
      </c>
      <c r="M372" s="78">
        <f t="shared" si="78"/>
        <v>14958.1</v>
      </c>
      <c r="N372" s="78">
        <f t="shared" si="79"/>
        <v>1495.81</v>
      </c>
      <c r="O372" s="78">
        <v>14958.1</v>
      </c>
      <c r="P372" s="72">
        <v>13000</v>
      </c>
      <c r="Q372" s="256">
        <f t="shared" si="76"/>
        <v>2860</v>
      </c>
      <c r="R372" s="256">
        <f t="shared" si="77"/>
        <v>15860</v>
      </c>
      <c r="S372" s="296"/>
      <c r="T372" s="3">
        <v>22</v>
      </c>
      <c r="U372" s="293"/>
    </row>
    <row r="373" spans="1:21" ht="30" customHeight="1" x14ac:dyDescent="0.35">
      <c r="A373" s="218" t="s">
        <v>2655</v>
      </c>
      <c r="B373" s="3">
        <v>348</v>
      </c>
      <c r="C373" s="44">
        <v>10134242</v>
      </c>
      <c r="D373" s="18" t="s">
        <v>1715</v>
      </c>
      <c r="E373" s="18" t="s">
        <v>2027</v>
      </c>
      <c r="F373" s="12">
        <v>20</v>
      </c>
      <c r="G373" s="3" t="s">
        <v>0</v>
      </c>
      <c r="H373" s="39">
        <v>41267</v>
      </c>
      <c r="I373" s="27" t="s">
        <v>984</v>
      </c>
      <c r="J373" s="4" t="s">
        <v>1962</v>
      </c>
      <c r="K373" s="4" t="s">
        <v>988</v>
      </c>
      <c r="L373" s="29" t="s">
        <v>977</v>
      </c>
      <c r="M373" s="78">
        <f t="shared" si="78"/>
        <v>31500</v>
      </c>
      <c r="N373" s="78">
        <f t="shared" si="79"/>
        <v>1575</v>
      </c>
      <c r="O373" s="78">
        <v>31500</v>
      </c>
      <c r="P373" s="72">
        <v>27370</v>
      </c>
      <c r="Q373" s="256">
        <f t="shared" si="76"/>
        <v>6021.4</v>
      </c>
      <c r="R373" s="256">
        <f t="shared" si="77"/>
        <v>33391.4</v>
      </c>
      <c r="S373" s="296"/>
      <c r="T373" s="3">
        <v>22</v>
      </c>
      <c r="U373" s="293"/>
    </row>
    <row r="374" spans="1:21" ht="25.5" customHeight="1" x14ac:dyDescent="0.35">
      <c r="A374" s="218" t="s">
        <v>2656</v>
      </c>
      <c r="B374" s="3">
        <v>349</v>
      </c>
      <c r="C374" s="44">
        <v>10093718</v>
      </c>
      <c r="D374" s="18" t="s">
        <v>1716</v>
      </c>
      <c r="E374" s="18" t="s">
        <v>2027</v>
      </c>
      <c r="F374" s="12">
        <v>0.96699999999999997</v>
      </c>
      <c r="G374" s="3" t="s">
        <v>0</v>
      </c>
      <c r="H374" s="39">
        <v>39758</v>
      </c>
      <c r="I374" s="27" t="s">
        <v>984</v>
      </c>
      <c r="J374" s="4" t="s">
        <v>1962</v>
      </c>
      <c r="K374" s="4" t="s">
        <v>988</v>
      </c>
      <c r="L374" s="29" t="s">
        <v>977</v>
      </c>
      <c r="M374" s="78">
        <f t="shared" si="78"/>
        <v>597.41</v>
      </c>
      <c r="N374" s="78">
        <f t="shared" si="79"/>
        <v>617.79999999999995</v>
      </c>
      <c r="O374" s="78">
        <v>597.41</v>
      </c>
      <c r="P374" s="72">
        <v>610</v>
      </c>
      <c r="Q374" s="256">
        <f t="shared" si="76"/>
        <v>134.19999999999999</v>
      </c>
      <c r="R374" s="256">
        <f t="shared" si="77"/>
        <v>744.2</v>
      </c>
      <c r="S374" s="296"/>
      <c r="T374" s="3">
        <v>22</v>
      </c>
      <c r="U374" s="293"/>
    </row>
    <row r="375" spans="1:21" ht="18" customHeight="1" x14ac:dyDescent="0.35">
      <c r="A375" s="218" t="s">
        <v>2657</v>
      </c>
      <c r="B375" s="3">
        <v>350</v>
      </c>
      <c r="C375" s="44">
        <v>10093719</v>
      </c>
      <c r="D375" s="18" t="s">
        <v>1717</v>
      </c>
      <c r="E375" s="18" t="s">
        <v>2027</v>
      </c>
      <c r="F375" s="12">
        <v>12</v>
      </c>
      <c r="G375" s="3" t="s">
        <v>0</v>
      </c>
      <c r="H375" s="39">
        <v>39758</v>
      </c>
      <c r="I375" s="27" t="s">
        <v>984</v>
      </c>
      <c r="J375" s="4" t="s">
        <v>1962</v>
      </c>
      <c r="K375" s="4" t="s">
        <v>988</v>
      </c>
      <c r="L375" s="29" t="s">
        <v>977</v>
      </c>
      <c r="M375" s="78">
        <f t="shared" si="78"/>
        <v>50902.86</v>
      </c>
      <c r="N375" s="78">
        <f t="shared" si="79"/>
        <v>4241.91</v>
      </c>
      <c r="O375" s="78">
        <v>50902.86</v>
      </c>
      <c r="P375" s="72">
        <v>52000</v>
      </c>
      <c r="Q375" s="256">
        <f t="shared" si="76"/>
        <v>11440</v>
      </c>
      <c r="R375" s="256">
        <f t="shared" si="77"/>
        <v>63440</v>
      </c>
      <c r="S375" s="296"/>
      <c r="T375" s="3">
        <v>22</v>
      </c>
      <c r="U375" s="293"/>
    </row>
    <row r="376" spans="1:21" ht="15" customHeight="1" x14ac:dyDescent="0.35">
      <c r="A376" s="218" t="s">
        <v>2658</v>
      </c>
      <c r="B376" s="3">
        <v>351</v>
      </c>
      <c r="C376" s="44">
        <v>10101809</v>
      </c>
      <c r="D376" s="18" t="s">
        <v>1718</v>
      </c>
      <c r="E376" s="18" t="s">
        <v>2027</v>
      </c>
      <c r="F376" s="12">
        <f>65-53</f>
        <v>12</v>
      </c>
      <c r="G376" s="3" t="s">
        <v>0</v>
      </c>
      <c r="H376" s="39">
        <v>40640</v>
      </c>
      <c r="I376" s="27" t="s">
        <v>984</v>
      </c>
      <c r="J376" s="4" t="s">
        <v>1962</v>
      </c>
      <c r="K376" s="4" t="s">
        <v>988</v>
      </c>
      <c r="L376" s="29" t="s">
        <v>977</v>
      </c>
      <c r="M376" s="78">
        <f t="shared" si="78"/>
        <v>13392</v>
      </c>
      <c r="N376" s="78">
        <f t="shared" si="79"/>
        <v>1116</v>
      </c>
      <c r="O376" s="78">
        <f>72540/65*12</f>
        <v>13392</v>
      </c>
      <c r="P376" s="72">
        <v>12020</v>
      </c>
      <c r="Q376" s="256">
        <f t="shared" si="76"/>
        <v>2644.4</v>
      </c>
      <c r="R376" s="256">
        <f t="shared" si="77"/>
        <v>14664.4</v>
      </c>
      <c r="S376" s="296"/>
      <c r="T376" s="3">
        <v>22</v>
      </c>
      <c r="U376" s="293"/>
    </row>
    <row r="377" spans="1:21" ht="168" customHeight="1" x14ac:dyDescent="0.35">
      <c r="A377" s="218" t="s">
        <v>4091</v>
      </c>
      <c r="B377" s="3">
        <v>352</v>
      </c>
      <c r="C377" s="44">
        <v>10101809</v>
      </c>
      <c r="D377" s="18" t="s">
        <v>1718</v>
      </c>
      <c r="E377" s="19" t="s">
        <v>2219</v>
      </c>
      <c r="F377" s="12">
        <v>53</v>
      </c>
      <c r="G377" s="3" t="s">
        <v>0</v>
      </c>
      <c r="H377" s="39">
        <v>40640</v>
      </c>
      <c r="I377" s="27" t="s">
        <v>984</v>
      </c>
      <c r="J377" s="4" t="s">
        <v>1962</v>
      </c>
      <c r="K377" s="4" t="s">
        <v>4269</v>
      </c>
      <c r="L377" s="29" t="s">
        <v>871</v>
      </c>
      <c r="M377" s="78">
        <f>O377</f>
        <v>59148</v>
      </c>
      <c r="N377" s="78">
        <f>M377/53</f>
        <v>1116</v>
      </c>
      <c r="O377" s="150">
        <v>59148</v>
      </c>
      <c r="P377" s="72">
        <v>31230</v>
      </c>
      <c r="Q377" s="256">
        <f t="shared" si="76"/>
        <v>6870.6</v>
      </c>
      <c r="R377" s="256">
        <f t="shared" si="77"/>
        <v>38100.6</v>
      </c>
      <c r="S377" s="296"/>
      <c r="T377" s="3">
        <v>22</v>
      </c>
      <c r="U377" s="293"/>
    </row>
    <row r="378" spans="1:21" ht="15" customHeight="1" x14ac:dyDescent="0.35">
      <c r="A378" s="218" t="s">
        <v>2659</v>
      </c>
      <c r="B378" s="3">
        <v>353</v>
      </c>
      <c r="C378" s="44">
        <v>10021652</v>
      </c>
      <c r="D378" s="18" t="s">
        <v>1719</v>
      </c>
      <c r="E378" s="18" t="s">
        <v>2027</v>
      </c>
      <c r="F378" s="12">
        <v>15</v>
      </c>
      <c r="G378" s="3" t="s">
        <v>0</v>
      </c>
      <c r="H378" s="39">
        <v>39419</v>
      </c>
      <c r="I378" s="27" t="s">
        <v>984</v>
      </c>
      <c r="J378" s="4" t="s">
        <v>1962</v>
      </c>
      <c r="K378" s="4" t="s">
        <v>988</v>
      </c>
      <c r="L378" s="29" t="s">
        <v>977</v>
      </c>
      <c r="M378" s="78">
        <f t="shared" si="78"/>
        <v>14344.66</v>
      </c>
      <c r="N378" s="78">
        <f t="shared" ref="N378:N383" si="80">O378/F378</f>
        <v>956.31</v>
      </c>
      <c r="O378" s="78">
        <v>14344.66</v>
      </c>
      <c r="P378" s="72">
        <v>16560</v>
      </c>
      <c r="Q378" s="256">
        <f t="shared" si="76"/>
        <v>3643.2</v>
      </c>
      <c r="R378" s="256">
        <f t="shared" si="77"/>
        <v>20203.2</v>
      </c>
      <c r="S378" s="296"/>
      <c r="T378" s="3">
        <v>22</v>
      </c>
      <c r="U378" s="293"/>
    </row>
    <row r="379" spans="1:21" ht="15" customHeight="1" x14ac:dyDescent="0.35">
      <c r="A379" s="218" t="s">
        <v>2660</v>
      </c>
      <c r="B379" s="3">
        <v>354</v>
      </c>
      <c r="C379" s="44">
        <v>10119341</v>
      </c>
      <c r="D379" s="18" t="s">
        <v>1749</v>
      </c>
      <c r="E379" s="18" t="s">
        <v>2027</v>
      </c>
      <c r="F379" s="12">
        <v>4</v>
      </c>
      <c r="G379" s="3" t="s">
        <v>0</v>
      </c>
      <c r="H379" s="39">
        <v>41423</v>
      </c>
      <c r="I379" s="27" t="s">
        <v>984</v>
      </c>
      <c r="J379" s="4" t="s">
        <v>1962</v>
      </c>
      <c r="K379" s="4" t="s">
        <v>988</v>
      </c>
      <c r="L379" s="29" t="s">
        <v>977</v>
      </c>
      <c r="M379" s="78">
        <f t="shared" si="78"/>
        <v>2572.88</v>
      </c>
      <c r="N379" s="78">
        <f t="shared" si="80"/>
        <v>643.22</v>
      </c>
      <c r="O379" s="78">
        <v>2572.88</v>
      </c>
      <c r="P379" s="72">
        <v>2240</v>
      </c>
      <c r="Q379" s="256">
        <f t="shared" si="76"/>
        <v>492.8</v>
      </c>
      <c r="R379" s="256">
        <f t="shared" si="77"/>
        <v>2732.8</v>
      </c>
      <c r="S379" s="296"/>
      <c r="T379" s="3">
        <v>22</v>
      </c>
      <c r="U379" s="293"/>
    </row>
    <row r="380" spans="1:21" ht="32.15" customHeight="1" x14ac:dyDescent="0.35">
      <c r="A380" s="218" t="s">
        <v>2661</v>
      </c>
      <c r="B380" s="3">
        <v>355</v>
      </c>
      <c r="C380" s="44">
        <v>10105828</v>
      </c>
      <c r="D380" s="18" t="s">
        <v>1874</v>
      </c>
      <c r="E380" s="18" t="s">
        <v>2027</v>
      </c>
      <c r="F380" s="12">
        <v>26</v>
      </c>
      <c r="G380" s="3" t="s">
        <v>0</v>
      </c>
      <c r="H380" s="39">
        <v>41431</v>
      </c>
      <c r="I380" s="27" t="s">
        <v>984</v>
      </c>
      <c r="J380" s="4" t="s">
        <v>1961</v>
      </c>
      <c r="K380" s="4" t="s">
        <v>988</v>
      </c>
      <c r="L380" s="29" t="s">
        <v>977</v>
      </c>
      <c r="M380" s="78">
        <f t="shared" si="78"/>
        <v>64056.94</v>
      </c>
      <c r="N380" s="78">
        <f t="shared" si="80"/>
        <v>2463.73</v>
      </c>
      <c r="O380" s="78">
        <v>64056.94</v>
      </c>
      <c r="P380" s="72">
        <v>55750</v>
      </c>
      <c r="Q380" s="256">
        <f t="shared" si="76"/>
        <v>12265</v>
      </c>
      <c r="R380" s="256">
        <f t="shared" si="77"/>
        <v>68015</v>
      </c>
      <c r="S380" s="296"/>
      <c r="T380" s="3">
        <v>22</v>
      </c>
      <c r="U380" s="293"/>
    </row>
    <row r="381" spans="1:21" ht="15" customHeight="1" x14ac:dyDescent="0.35">
      <c r="A381" s="218" t="s">
        <v>2662</v>
      </c>
      <c r="B381" s="3">
        <v>356</v>
      </c>
      <c r="C381" s="65">
        <v>10148104</v>
      </c>
      <c r="D381" s="8" t="s">
        <v>1374</v>
      </c>
      <c r="E381" s="19" t="s">
        <v>2219</v>
      </c>
      <c r="F381" s="92">
        <v>1</v>
      </c>
      <c r="G381" s="3" t="s">
        <v>0</v>
      </c>
      <c r="H381" s="40">
        <v>41518</v>
      </c>
      <c r="I381" s="27" t="s">
        <v>984</v>
      </c>
      <c r="J381" s="4" t="s">
        <v>1962</v>
      </c>
      <c r="K381" s="4" t="s">
        <v>988</v>
      </c>
      <c r="L381" s="29" t="s">
        <v>977</v>
      </c>
      <c r="M381" s="78">
        <f t="shared" si="78"/>
        <v>6249</v>
      </c>
      <c r="N381" s="78">
        <f t="shared" si="80"/>
        <v>6249</v>
      </c>
      <c r="O381" s="78">
        <v>6249</v>
      </c>
      <c r="P381" s="72">
        <v>5460</v>
      </c>
      <c r="Q381" s="256">
        <f t="shared" si="76"/>
        <v>1201.2</v>
      </c>
      <c r="R381" s="256">
        <f t="shared" si="77"/>
        <v>6661.2</v>
      </c>
      <c r="S381" s="296"/>
      <c r="T381" s="3">
        <v>22</v>
      </c>
      <c r="U381" s="293"/>
    </row>
    <row r="382" spans="1:21" ht="30" customHeight="1" x14ac:dyDescent="0.35">
      <c r="A382" s="218" t="s">
        <v>2663</v>
      </c>
      <c r="B382" s="3">
        <v>357</v>
      </c>
      <c r="C382" s="65">
        <v>10148150</v>
      </c>
      <c r="D382" s="8" t="s">
        <v>603</v>
      </c>
      <c r="E382" s="19" t="s">
        <v>2219</v>
      </c>
      <c r="F382" s="92">
        <v>3</v>
      </c>
      <c r="G382" s="3" t="s">
        <v>0</v>
      </c>
      <c r="H382" s="40">
        <v>41518</v>
      </c>
      <c r="I382" s="27" t="s">
        <v>984</v>
      </c>
      <c r="J382" s="4" t="s">
        <v>1962</v>
      </c>
      <c r="K382" s="4" t="s">
        <v>988</v>
      </c>
      <c r="L382" s="29" t="s">
        <v>977</v>
      </c>
      <c r="M382" s="78">
        <f t="shared" si="78"/>
        <v>3897</v>
      </c>
      <c r="N382" s="78">
        <f t="shared" si="80"/>
        <v>1299</v>
      </c>
      <c r="O382" s="78">
        <v>3897</v>
      </c>
      <c r="P382" s="72">
        <v>3400</v>
      </c>
      <c r="Q382" s="256">
        <f t="shared" si="76"/>
        <v>748</v>
      </c>
      <c r="R382" s="256">
        <f t="shared" si="77"/>
        <v>4148</v>
      </c>
      <c r="S382" s="296"/>
      <c r="T382" s="3">
        <v>22</v>
      </c>
      <c r="U382" s="293"/>
    </row>
    <row r="383" spans="1:21" ht="33.75" customHeight="1" x14ac:dyDescent="0.35">
      <c r="A383" s="218" t="s">
        <v>2664</v>
      </c>
      <c r="B383" s="3">
        <v>358</v>
      </c>
      <c r="C383" s="65">
        <v>10151413</v>
      </c>
      <c r="D383" s="8" t="s">
        <v>1392</v>
      </c>
      <c r="E383" s="19" t="s">
        <v>2219</v>
      </c>
      <c r="F383" s="92">
        <v>1</v>
      </c>
      <c r="G383" s="3" t="s">
        <v>0</v>
      </c>
      <c r="H383" s="40">
        <v>41518</v>
      </c>
      <c r="I383" s="27" t="s">
        <v>984</v>
      </c>
      <c r="J383" s="4" t="s">
        <v>1962</v>
      </c>
      <c r="K383" s="4" t="s">
        <v>988</v>
      </c>
      <c r="L383" s="29" t="s">
        <v>977</v>
      </c>
      <c r="M383" s="78">
        <f t="shared" si="78"/>
        <v>29300</v>
      </c>
      <c r="N383" s="78">
        <f t="shared" si="80"/>
        <v>29300</v>
      </c>
      <c r="O383" s="78">
        <v>29300</v>
      </c>
      <c r="P383" s="72">
        <v>25590</v>
      </c>
      <c r="Q383" s="256">
        <f t="shared" si="76"/>
        <v>5629.8</v>
      </c>
      <c r="R383" s="256">
        <f t="shared" si="77"/>
        <v>31219.8</v>
      </c>
      <c r="S383" s="297"/>
      <c r="T383" s="3">
        <v>22</v>
      </c>
      <c r="U383" s="293"/>
    </row>
    <row r="384" spans="1:21" ht="15" customHeight="1" x14ac:dyDescent="0.35">
      <c r="A384" s="218"/>
      <c r="B384" s="94"/>
      <c r="C384" s="65"/>
      <c r="D384" s="8"/>
      <c r="E384" s="19"/>
      <c r="F384" s="92"/>
      <c r="G384" s="3"/>
      <c r="H384" s="40"/>
      <c r="I384" s="27"/>
      <c r="J384" s="4"/>
      <c r="K384" s="4"/>
      <c r="L384" s="29"/>
      <c r="M384" s="78"/>
      <c r="N384" s="78"/>
      <c r="O384" s="108">
        <f>SUM(O361:O383)</f>
        <v>720108.13</v>
      </c>
      <c r="P384" s="276">
        <f t="shared" ref="P384:Q384" si="81">SUM(P361:P383)</f>
        <v>623540</v>
      </c>
      <c r="Q384" s="282">
        <f t="shared" si="81"/>
        <v>137178.79999999999</v>
      </c>
      <c r="R384" s="282">
        <f>SUM(R361:R383)</f>
        <v>760718.8</v>
      </c>
      <c r="S384" s="286">
        <f>R384/100*10</f>
        <v>76071.88</v>
      </c>
      <c r="T384" s="104">
        <v>22</v>
      </c>
      <c r="U384" s="304"/>
    </row>
    <row r="385" spans="1:21" ht="35.25" customHeight="1" x14ac:dyDescent="0.35">
      <c r="A385" s="218" t="s">
        <v>2665</v>
      </c>
      <c r="B385" s="3">
        <v>359</v>
      </c>
      <c r="C385" s="44">
        <v>102001389</v>
      </c>
      <c r="D385" s="18" t="s">
        <v>292</v>
      </c>
      <c r="E385" s="18" t="s">
        <v>2235</v>
      </c>
      <c r="F385" s="12">
        <v>2</v>
      </c>
      <c r="G385" s="3" t="s">
        <v>0</v>
      </c>
      <c r="H385" s="5">
        <v>42004</v>
      </c>
      <c r="I385" s="3" t="s">
        <v>1003</v>
      </c>
      <c r="J385" s="4" t="s">
        <v>1962</v>
      </c>
      <c r="K385" s="5" t="s">
        <v>988</v>
      </c>
      <c r="L385" s="5" t="s">
        <v>871</v>
      </c>
      <c r="M385" s="72">
        <f t="shared" si="78"/>
        <v>382592.78</v>
      </c>
      <c r="N385" s="72">
        <f t="shared" ref="N385:N415" si="82">O385/F385</f>
        <v>191296.39</v>
      </c>
      <c r="O385" s="72">
        <v>382592.78</v>
      </c>
      <c r="P385" s="72">
        <v>190500</v>
      </c>
      <c r="Q385" s="256">
        <f t="shared" ref="Q385:Q416" si="83">R385-P385</f>
        <v>41910</v>
      </c>
      <c r="R385" s="256">
        <f t="shared" ref="R385:R416" si="84">P385*1.22</f>
        <v>232410</v>
      </c>
      <c r="S385" s="289"/>
      <c r="T385" s="3">
        <v>23</v>
      </c>
      <c r="U385" s="292" t="s">
        <v>2315</v>
      </c>
    </row>
    <row r="386" spans="1:21" ht="105" customHeight="1" x14ac:dyDescent="0.35">
      <c r="A386" s="218" t="s">
        <v>2666</v>
      </c>
      <c r="B386" s="3">
        <v>360</v>
      </c>
      <c r="C386" s="44">
        <v>102001424</v>
      </c>
      <c r="D386" s="18" t="s">
        <v>296</v>
      </c>
      <c r="E386" s="18" t="s">
        <v>2235</v>
      </c>
      <c r="F386" s="12">
        <v>3</v>
      </c>
      <c r="G386" s="3" t="s">
        <v>0</v>
      </c>
      <c r="H386" s="5">
        <v>42004</v>
      </c>
      <c r="I386" s="3" t="s">
        <v>1003</v>
      </c>
      <c r="J386" s="4" t="s">
        <v>1962</v>
      </c>
      <c r="K386" s="5" t="s">
        <v>988</v>
      </c>
      <c r="L386" s="5" t="s">
        <v>871</v>
      </c>
      <c r="M386" s="72">
        <f t="shared" si="78"/>
        <v>90555.72</v>
      </c>
      <c r="N386" s="72">
        <f t="shared" si="82"/>
        <v>30185.24</v>
      </c>
      <c r="O386" s="72">
        <v>90555.72</v>
      </c>
      <c r="P386" s="72">
        <v>45090</v>
      </c>
      <c r="Q386" s="256">
        <f t="shared" si="83"/>
        <v>9919.7999999999993</v>
      </c>
      <c r="R386" s="256">
        <f t="shared" si="84"/>
        <v>55009.8</v>
      </c>
      <c r="S386" s="296"/>
      <c r="T386" s="3">
        <v>23</v>
      </c>
      <c r="U386" s="294"/>
    </row>
    <row r="387" spans="1:21" ht="30" customHeight="1" x14ac:dyDescent="0.35">
      <c r="A387" s="218" t="s">
        <v>2667</v>
      </c>
      <c r="B387" s="3">
        <v>361</v>
      </c>
      <c r="C387" s="44">
        <v>102001265</v>
      </c>
      <c r="D387" s="18" t="s">
        <v>332</v>
      </c>
      <c r="E387" s="18" t="s">
        <v>2197</v>
      </c>
      <c r="F387" s="12">
        <v>1</v>
      </c>
      <c r="G387" s="3" t="s">
        <v>0</v>
      </c>
      <c r="H387" s="49" t="s">
        <v>2195</v>
      </c>
      <c r="I387" s="5" t="s">
        <v>999</v>
      </c>
      <c r="J387" s="4" t="s">
        <v>1962</v>
      </c>
      <c r="K387" s="5" t="s">
        <v>988</v>
      </c>
      <c r="L387" s="5" t="s">
        <v>871</v>
      </c>
      <c r="M387" s="72">
        <f t="shared" si="78"/>
        <v>375520</v>
      </c>
      <c r="N387" s="72">
        <f t="shared" si="82"/>
        <v>375520</v>
      </c>
      <c r="O387" s="72">
        <v>375520</v>
      </c>
      <c r="P387" s="72">
        <v>209750</v>
      </c>
      <c r="Q387" s="256">
        <f t="shared" si="83"/>
        <v>46145</v>
      </c>
      <c r="R387" s="256">
        <f t="shared" si="84"/>
        <v>255895</v>
      </c>
      <c r="S387" s="296"/>
      <c r="T387" s="3">
        <v>23</v>
      </c>
      <c r="U387" s="294"/>
    </row>
    <row r="388" spans="1:21" ht="22.5" customHeight="1" x14ac:dyDescent="0.35">
      <c r="A388" s="218" t="s">
        <v>2668</v>
      </c>
      <c r="B388" s="3">
        <v>362</v>
      </c>
      <c r="C388" s="44">
        <v>102001270</v>
      </c>
      <c r="D388" s="18" t="s">
        <v>333</v>
      </c>
      <c r="E388" s="18" t="s">
        <v>2197</v>
      </c>
      <c r="F388" s="12">
        <v>1</v>
      </c>
      <c r="G388" s="3" t="s">
        <v>0</v>
      </c>
      <c r="H388" s="49" t="s">
        <v>2195</v>
      </c>
      <c r="I388" s="5" t="s">
        <v>999</v>
      </c>
      <c r="J388" s="4" t="s">
        <v>1962</v>
      </c>
      <c r="K388" s="5" t="s">
        <v>988</v>
      </c>
      <c r="L388" s="5" t="s">
        <v>871</v>
      </c>
      <c r="M388" s="72">
        <f t="shared" si="78"/>
        <v>226380</v>
      </c>
      <c r="N388" s="72">
        <f t="shared" si="82"/>
        <v>226380</v>
      </c>
      <c r="O388" s="72">
        <v>226380</v>
      </c>
      <c r="P388" s="72">
        <v>126450</v>
      </c>
      <c r="Q388" s="256">
        <f t="shared" si="83"/>
        <v>27819</v>
      </c>
      <c r="R388" s="256">
        <f t="shared" si="84"/>
        <v>154269</v>
      </c>
      <c r="S388" s="296"/>
      <c r="T388" s="3">
        <v>23</v>
      </c>
      <c r="U388" s="294"/>
    </row>
    <row r="389" spans="1:21" ht="30.75" customHeight="1" x14ac:dyDescent="0.35">
      <c r="A389" s="218" t="s">
        <v>2669</v>
      </c>
      <c r="B389" s="3">
        <v>363</v>
      </c>
      <c r="C389" s="44">
        <v>102001422</v>
      </c>
      <c r="D389" s="18" t="s">
        <v>337</v>
      </c>
      <c r="E389" s="18" t="s">
        <v>2197</v>
      </c>
      <c r="F389" s="12">
        <v>1</v>
      </c>
      <c r="G389" s="3" t="s">
        <v>0</v>
      </c>
      <c r="H389" s="49" t="s">
        <v>2195</v>
      </c>
      <c r="I389" s="5" t="s">
        <v>999</v>
      </c>
      <c r="J389" s="4" t="s">
        <v>1962</v>
      </c>
      <c r="K389" s="5" t="s">
        <v>988</v>
      </c>
      <c r="L389" s="5" t="s">
        <v>871</v>
      </c>
      <c r="M389" s="72">
        <f t="shared" si="78"/>
        <v>233680</v>
      </c>
      <c r="N389" s="72">
        <f t="shared" si="82"/>
        <v>233680</v>
      </c>
      <c r="O389" s="72">
        <v>233680</v>
      </c>
      <c r="P389" s="72">
        <v>130520</v>
      </c>
      <c r="Q389" s="256">
        <f t="shared" si="83"/>
        <v>28714.400000000001</v>
      </c>
      <c r="R389" s="256">
        <f t="shared" si="84"/>
        <v>159234.4</v>
      </c>
      <c r="S389" s="296"/>
      <c r="T389" s="3">
        <v>23</v>
      </c>
      <c r="U389" s="294"/>
    </row>
    <row r="390" spans="1:21" ht="120" customHeight="1" x14ac:dyDescent="0.35">
      <c r="A390" s="218" t="s">
        <v>2670</v>
      </c>
      <c r="B390" s="3">
        <v>364</v>
      </c>
      <c r="C390" s="44">
        <v>102004256</v>
      </c>
      <c r="D390" s="18" t="s">
        <v>369</v>
      </c>
      <c r="E390" s="18" t="s">
        <v>2197</v>
      </c>
      <c r="F390" s="12">
        <v>2</v>
      </c>
      <c r="G390" s="3" t="s">
        <v>0</v>
      </c>
      <c r="H390" s="49">
        <v>2010</v>
      </c>
      <c r="I390" s="5" t="s">
        <v>999</v>
      </c>
      <c r="J390" s="4" t="s">
        <v>1962</v>
      </c>
      <c r="K390" s="5" t="s">
        <v>988</v>
      </c>
      <c r="L390" s="29" t="s">
        <v>2143</v>
      </c>
      <c r="M390" s="78">
        <f t="shared" si="78"/>
        <v>199206.96</v>
      </c>
      <c r="N390" s="78">
        <f t="shared" si="82"/>
        <v>99603.48</v>
      </c>
      <c r="O390" s="78">
        <v>199206.96</v>
      </c>
      <c r="P390" s="72">
        <v>111270</v>
      </c>
      <c r="Q390" s="256">
        <f t="shared" si="83"/>
        <v>24479.4</v>
      </c>
      <c r="R390" s="256">
        <f t="shared" si="84"/>
        <v>135749.4</v>
      </c>
      <c r="S390" s="296"/>
      <c r="T390" s="3">
        <v>23</v>
      </c>
      <c r="U390" s="294"/>
    </row>
    <row r="391" spans="1:21" ht="30" customHeight="1" x14ac:dyDescent="0.35">
      <c r="A391" s="218" t="s">
        <v>2671</v>
      </c>
      <c r="B391" s="3">
        <v>365</v>
      </c>
      <c r="C391" s="44">
        <v>102000706</v>
      </c>
      <c r="D391" s="18" t="s">
        <v>317</v>
      </c>
      <c r="E391" s="18" t="s">
        <v>2197</v>
      </c>
      <c r="F391" s="12">
        <v>1</v>
      </c>
      <c r="G391" s="3" t="s">
        <v>0</v>
      </c>
      <c r="H391" s="49" t="s">
        <v>2195</v>
      </c>
      <c r="I391" s="5" t="s">
        <v>999</v>
      </c>
      <c r="J391" s="5" t="s">
        <v>986</v>
      </c>
      <c r="K391" s="5" t="s">
        <v>988</v>
      </c>
      <c r="L391" s="5" t="s">
        <v>871</v>
      </c>
      <c r="M391" s="72">
        <f t="shared" si="78"/>
        <v>81725</v>
      </c>
      <c r="N391" s="72">
        <f t="shared" si="82"/>
        <v>81725</v>
      </c>
      <c r="O391" s="72">
        <v>81725</v>
      </c>
      <c r="P391" s="72">
        <v>45650</v>
      </c>
      <c r="Q391" s="256">
        <f t="shared" si="83"/>
        <v>10043</v>
      </c>
      <c r="R391" s="256">
        <f t="shared" si="84"/>
        <v>55693</v>
      </c>
      <c r="S391" s="296"/>
      <c r="T391" s="3">
        <v>23</v>
      </c>
      <c r="U391" s="294"/>
    </row>
    <row r="392" spans="1:21" ht="33.75" customHeight="1" x14ac:dyDescent="0.35">
      <c r="A392" s="218" t="s">
        <v>2672</v>
      </c>
      <c r="B392" s="3">
        <v>366</v>
      </c>
      <c r="C392" s="44">
        <v>102000858</v>
      </c>
      <c r="D392" s="18" t="s">
        <v>320</v>
      </c>
      <c r="E392" s="18" t="s">
        <v>2197</v>
      </c>
      <c r="F392" s="12">
        <v>1</v>
      </c>
      <c r="G392" s="3" t="s">
        <v>0</v>
      </c>
      <c r="H392" s="49" t="s">
        <v>2195</v>
      </c>
      <c r="I392" s="5" t="s">
        <v>999</v>
      </c>
      <c r="J392" s="5" t="s">
        <v>986</v>
      </c>
      <c r="K392" s="5" t="s">
        <v>988</v>
      </c>
      <c r="L392" s="5" t="s">
        <v>871</v>
      </c>
      <c r="M392" s="72">
        <f t="shared" si="78"/>
        <v>129760</v>
      </c>
      <c r="N392" s="72">
        <f t="shared" si="82"/>
        <v>129760</v>
      </c>
      <c r="O392" s="72">
        <v>129760</v>
      </c>
      <c r="P392" s="72">
        <v>72480</v>
      </c>
      <c r="Q392" s="256">
        <f t="shared" si="83"/>
        <v>15945.6</v>
      </c>
      <c r="R392" s="256">
        <f t="shared" si="84"/>
        <v>88425.600000000006</v>
      </c>
      <c r="S392" s="296"/>
      <c r="T392" s="3">
        <v>23</v>
      </c>
      <c r="U392" s="294"/>
    </row>
    <row r="393" spans="1:21" ht="22.5" customHeight="1" x14ac:dyDescent="0.35">
      <c r="A393" s="218" t="s">
        <v>2673</v>
      </c>
      <c r="B393" s="3">
        <v>367</v>
      </c>
      <c r="C393" s="44">
        <v>102000966</v>
      </c>
      <c r="D393" s="18" t="s">
        <v>325</v>
      </c>
      <c r="E393" s="18" t="s">
        <v>2197</v>
      </c>
      <c r="F393" s="12">
        <v>1</v>
      </c>
      <c r="G393" s="3" t="s">
        <v>0</v>
      </c>
      <c r="H393" s="49" t="s">
        <v>2195</v>
      </c>
      <c r="I393" s="5" t="s">
        <v>999</v>
      </c>
      <c r="J393" s="5" t="s">
        <v>986</v>
      </c>
      <c r="K393" s="5" t="s">
        <v>988</v>
      </c>
      <c r="L393" s="5" t="s">
        <v>871</v>
      </c>
      <c r="M393" s="72">
        <f t="shared" si="78"/>
        <v>125850</v>
      </c>
      <c r="N393" s="72">
        <f t="shared" si="82"/>
        <v>125850</v>
      </c>
      <c r="O393" s="72">
        <v>125850</v>
      </c>
      <c r="P393" s="72">
        <v>70290</v>
      </c>
      <c r="Q393" s="256">
        <f t="shared" si="83"/>
        <v>15463.8</v>
      </c>
      <c r="R393" s="256">
        <f t="shared" si="84"/>
        <v>85753.8</v>
      </c>
      <c r="S393" s="296"/>
      <c r="T393" s="3">
        <v>23</v>
      </c>
      <c r="U393" s="294"/>
    </row>
    <row r="394" spans="1:21" ht="22.5" customHeight="1" x14ac:dyDescent="0.35">
      <c r="A394" s="218" t="s">
        <v>2674</v>
      </c>
      <c r="B394" s="3">
        <v>368</v>
      </c>
      <c r="C394" s="44">
        <v>102001094</v>
      </c>
      <c r="D394" s="18" t="s">
        <v>327</v>
      </c>
      <c r="E394" s="18" t="s">
        <v>2197</v>
      </c>
      <c r="F394" s="12">
        <v>1</v>
      </c>
      <c r="G394" s="3" t="s">
        <v>0</v>
      </c>
      <c r="H394" s="49" t="s">
        <v>2195</v>
      </c>
      <c r="I394" s="5" t="s">
        <v>999</v>
      </c>
      <c r="J394" s="5" t="s">
        <v>986</v>
      </c>
      <c r="K394" s="5" t="s">
        <v>988</v>
      </c>
      <c r="L394" s="5" t="s">
        <v>871</v>
      </c>
      <c r="M394" s="72">
        <f t="shared" si="78"/>
        <v>199080</v>
      </c>
      <c r="N394" s="72">
        <f t="shared" si="82"/>
        <v>199080</v>
      </c>
      <c r="O394" s="72">
        <v>199080</v>
      </c>
      <c r="P394" s="72">
        <v>111200</v>
      </c>
      <c r="Q394" s="256">
        <f t="shared" si="83"/>
        <v>24464</v>
      </c>
      <c r="R394" s="256">
        <f t="shared" si="84"/>
        <v>135664</v>
      </c>
      <c r="S394" s="296"/>
      <c r="T394" s="3">
        <v>23</v>
      </c>
      <c r="U394" s="294"/>
    </row>
    <row r="395" spans="1:21" ht="31.5" customHeight="1" x14ac:dyDescent="0.35">
      <c r="A395" s="218" t="s">
        <v>2675</v>
      </c>
      <c r="B395" s="3">
        <v>369</v>
      </c>
      <c r="C395" s="44">
        <v>102001174</v>
      </c>
      <c r="D395" s="18" t="s">
        <v>330</v>
      </c>
      <c r="E395" s="18" t="s">
        <v>2197</v>
      </c>
      <c r="F395" s="12">
        <v>1</v>
      </c>
      <c r="G395" s="3" t="s">
        <v>0</v>
      </c>
      <c r="H395" s="49" t="s">
        <v>2195</v>
      </c>
      <c r="I395" s="5" t="s">
        <v>999</v>
      </c>
      <c r="J395" s="5" t="s">
        <v>986</v>
      </c>
      <c r="K395" s="5" t="s">
        <v>988</v>
      </c>
      <c r="L395" s="5" t="s">
        <v>871</v>
      </c>
      <c r="M395" s="72">
        <f t="shared" si="78"/>
        <v>155750</v>
      </c>
      <c r="N395" s="72">
        <f t="shared" si="82"/>
        <v>155750</v>
      </c>
      <c r="O395" s="72">
        <v>155750</v>
      </c>
      <c r="P395" s="72">
        <v>87000</v>
      </c>
      <c r="Q395" s="256">
        <f t="shared" si="83"/>
        <v>19140</v>
      </c>
      <c r="R395" s="256">
        <f t="shared" si="84"/>
        <v>106140</v>
      </c>
      <c r="S395" s="296"/>
      <c r="T395" s="3">
        <v>23</v>
      </c>
      <c r="U395" s="294"/>
    </row>
    <row r="396" spans="1:21" ht="30" customHeight="1" x14ac:dyDescent="0.35">
      <c r="A396" s="218" t="s">
        <v>2676</v>
      </c>
      <c r="B396" s="3">
        <v>370</v>
      </c>
      <c r="C396" s="44">
        <v>102001219</v>
      </c>
      <c r="D396" s="18" t="s">
        <v>331</v>
      </c>
      <c r="E396" s="18" t="s">
        <v>2197</v>
      </c>
      <c r="F396" s="12">
        <v>1</v>
      </c>
      <c r="G396" s="3" t="s">
        <v>0</v>
      </c>
      <c r="H396" s="49" t="s">
        <v>2195</v>
      </c>
      <c r="I396" s="5" t="s">
        <v>999</v>
      </c>
      <c r="J396" s="5" t="s">
        <v>986</v>
      </c>
      <c r="K396" s="5" t="s">
        <v>988</v>
      </c>
      <c r="L396" s="5" t="s">
        <v>871</v>
      </c>
      <c r="M396" s="72">
        <f t="shared" si="78"/>
        <v>99425</v>
      </c>
      <c r="N396" s="72">
        <f t="shared" si="82"/>
        <v>99425</v>
      </c>
      <c r="O396" s="72">
        <v>99425</v>
      </c>
      <c r="P396" s="72">
        <v>55530</v>
      </c>
      <c r="Q396" s="256">
        <f t="shared" si="83"/>
        <v>12216.6</v>
      </c>
      <c r="R396" s="256">
        <f t="shared" si="84"/>
        <v>67746.600000000006</v>
      </c>
      <c r="S396" s="296"/>
      <c r="T396" s="3">
        <v>23</v>
      </c>
      <c r="U396" s="294"/>
    </row>
    <row r="397" spans="1:21" ht="33.75" customHeight="1" x14ac:dyDescent="0.35">
      <c r="A397" s="218" t="s">
        <v>2677</v>
      </c>
      <c r="B397" s="3">
        <v>371</v>
      </c>
      <c r="C397" s="44">
        <v>102000830</v>
      </c>
      <c r="D397" s="18" t="s">
        <v>359</v>
      </c>
      <c r="E397" s="18" t="s">
        <v>2197</v>
      </c>
      <c r="F397" s="12">
        <v>2</v>
      </c>
      <c r="G397" s="3" t="s">
        <v>0</v>
      </c>
      <c r="H397" s="49" t="s">
        <v>2195</v>
      </c>
      <c r="I397" s="5" t="s">
        <v>999</v>
      </c>
      <c r="J397" s="5" t="s">
        <v>2198</v>
      </c>
      <c r="K397" s="5" t="s">
        <v>988</v>
      </c>
      <c r="L397" s="5" t="s">
        <v>871</v>
      </c>
      <c r="M397" s="72">
        <f t="shared" si="78"/>
        <v>188400</v>
      </c>
      <c r="N397" s="72">
        <f t="shared" si="82"/>
        <v>94200</v>
      </c>
      <c r="O397" s="72">
        <v>188400</v>
      </c>
      <c r="P397" s="72">
        <v>105230</v>
      </c>
      <c r="Q397" s="256">
        <f t="shared" si="83"/>
        <v>23150.6</v>
      </c>
      <c r="R397" s="256">
        <f t="shared" si="84"/>
        <v>128380.6</v>
      </c>
      <c r="S397" s="296"/>
      <c r="T397" s="3">
        <v>23</v>
      </c>
      <c r="U397" s="294"/>
    </row>
    <row r="398" spans="1:21" ht="33" customHeight="1" x14ac:dyDescent="0.35">
      <c r="A398" s="218" t="s">
        <v>2678</v>
      </c>
      <c r="B398" s="3">
        <v>372</v>
      </c>
      <c r="C398" s="44">
        <v>102000875</v>
      </c>
      <c r="D398" s="18" t="s">
        <v>361</v>
      </c>
      <c r="E398" s="18" t="s">
        <v>2197</v>
      </c>
      <c r="F398" s="12">
        <v>2</v>
      </c>
      <c r="G398" s="3" t="s">
        <v>0</v>
      </c>
      <c r="H398" s="49" t="s">
        <v>2195</v>
      </c>
      <c r="I398" s="5" t="s">
        <v>999</v>
      </c>
      <c r="J398" s="4" t="s">
        <v>1962</v>
      </c>
      <c r="K398" s="5" t="s">
        <v>988</v>
      </c>
      <c r="L398" s="5" t="s">
        <v>871</v>
      </c>
      <c r="M398" s="72">
        <f t="shared" si="78"/>
        <v>137100</v>
      </c>
      <c r="N398" s="72">
        <f t="shared" si="82"/>
        <v>68550</v>
      </c>
      <c r="O398" s="72">
        <v>137100</v>
      </c>
      <c r="P398" s="72">
        <v>76580</v>
      </c>
      <c r="Q398" s="256">
        <f t="shared" si="83"/>
        <v>16847.599999999999</v>
      </c>
      <c r="R398" s="256">
        <f t="shared" si="84"/>
        <v>93427.6</v>
      </c>
      <c r="S398" s="296"/>
      <c r="T398" s="3">
        <v>23</v>
      </c>
      <c r="U398" s="294"/>
    </row>
    <row r="399" spans="1:21" ht="23.25" customHeight="1" x14ac:dyDescent="0.35">
      <c r="A399" s="218" t="s">
        <v>2679</v>
      </c>
      <c r="B399" s="3">
        <v>373</v>
      </c>
      <c r="C399" s="44">
        <v>102001075</v>
      </c>
      <c r="D399" s="18" t="s">
        <v>390</v>
      </c>
      <c r="E399" s="18" t="s">
        <v>2197</v>
      </c>
      <c r="F399" s="12">
        <v>6</v>
      </c>
      <c r="G399" s="3" t="s">
        <v>0</v>
      </c>
      <c r="H399" s="49">
        <v>2010</v>
      </c>
      <c r="I399" s="5" t="s">
        <v>999</v>
      </c>
      <c r="J399" s="4" t="s">
        <v>1962</v>
      </c>
      <c r="K399" s="5" t="s">
        <v>988</v>
      </c>
      <c r="L399" s="5" t="s">
        <v>871</v>
      </c>
      <c r="M399" s="73">
        <f t="shared" si="78"/>
        <v>586850</v>
      </c>
      <c r="N399" s="86">
        <f t="shared" si="82"/>
        <v>97808.33</v>
      </c>
      <c r="O399" s="72">
        <v>586850</v>
      </c>
      <c r="P399" s="72">
        <v>327790</v>
      </c>
      <c r="Q399" s="256">
        <f t="shared" si="83"/>
        <v>72113.8</v>
      </c>
      <c r="R399" s="256">
        <f t="shared" si="84"/>
        <v>399903.8</v>
      </c>
      <c r="S399" s="296"/>
      <c r="T399" s="3">
        <v>23</v>
      </c>
      <c r="U399" s="294"/>
    </row>
    <row r="400" spans="1:21" ht="24.75" customHeight="1" x14ac:dyDescent="0.35">
      <c r="A400" s="218" t="s">
        <v>2680</v>
      </c>
      <c r="B400" s="3">
        <v>374</v>
      </c>
      <c r="C400" s="44">
        <v>102001488</v>
      </c>
      <c r="D400" s="18" t="s">
        <v>391</v>
      </c>
      <c r="E400" s="18" t="s">
        <v>2197</v>
      </c>
      <c r="F400" s="12">
        <v>6</v>
      </c>
      <c r="G400" s="3" t="s">
        <v>0</v>
      </c>
      <c r="H400" s="49" t="s">
        <v>2195</v>
      </c>
      <c r="I400" s="5" t="s">
        <v>999</v>
      </c>
      <c r="J400" s="5" t="s">
        <v>986</v>
      </c>
      <c r="K400" s="5" t="s">
        <v>988</v>
      </c>
      <c r="L400" s="5" t="s">
        <v>871</v>
      </c>
      <c r="M400" s="73">
        <f t="shared" si="78"/>
        <v>467220</v>
      </c>
      <c r="N400" s="73">
        <f t="shared" si="82"/>
        <v>77870</v>
      </c>
      <c r="O400" s="72">
        <v>467220</v>
      </c>
      <c r="P400" s="72">
        <v>260970</v>
      </c>
      <c r="Q400" s="256">
        <f t="shared" si="83"/>
        <v>57413.4</v>
      </c>
      <c r="R400" s="256">
        <f t="shared" si="84"/>
        <v>318383.40000000002</v>
      </c>
      <c r="S400" s="296"/>
      <c r="T400" s="3">
        <v>23</v>
      </c>
      <c r="U400" s="294"/>
    </row>
    <row r="401" spans="1:21" ht="34.5" customHeight="1" x14ac:dyDescent="0.35">
      <c r="A401" s="218" t="s">
        <v>2681</v>
      </c>
      <c r="B401" s="3">
        <v>375</v>
      </c>
      <c r="C401" s="45">
        <v>102001397</v>
      </c>
      <c r="D401" s="15" t="s">
        <v>599</v>
      </c>
      <c r="E401" s="18" t="s">
        <v>2236</v>
      </c>
      <c r="F401" s="12">
        <v>1</v>
      </c>
      <c r="G401" s="3" t="s">
        <v>0</v>
      </c>
      <c r="H401" s="5">
        <v>42004</v>
      </c>
      <c r="I401" s="30" t="s">
        <v>1003</v>
      </c>
      <c r="J401" s="4" t="s">
        <v>1962</v>
      </c>
      <c r="K401" s="14" t="s">
        <v>762</v>
      </c>
      <c r="L401" s="3" t="s">
        <v>871</v>
      </c>
      <c r="M401" s="72">
        <f t="shared" si="78"/>
        <v>26516</v>
      </c>
      <c r="N401" s="72">
        <f t="shared" si="82"/>
        <v>26516</v>
      </c>
      <c r="O401" s="72">
        <v>26516</v>
      </c>
      <c r="P401" s="72">
        <v>13200</v>
      </c>
      <c r="Q401" s="256">
        <f t="shared" si="83"/>
        <v>2904</v>
      </c>
      <c r="R401" s="256">
        <f t="shared" si="84"/>
        <v>16104</v>
      </c>
      <c r="S401" s="296"/>
      <c r="T401" s="3">
        <v>23</v>
      </c>
      <c r="U401" s="294"/>
    </row>
    <row r="402" spans="1:21" ht="29.25" customHeight="1" x14ac:dyDescent="0.35">
      <c r="A402" s="218" t="s">
        <v>2682</v>
      </c>
      <c r="B402" s="3">
        <v>376</v>
      </c>
      <c r="C402" s="45">
        <v>102000687</v>
      </c>
      <c r="D402" s="15" t="s">
        <v>602</v>
      </c>
      <c r="E402" s="18" t="s">
        <v>2236</v>
      </c>
      <c r="F402" s="12">
        <v>1</v>
      </c>
      <c r="G402" s="3" t="s">
        <v>0</v>
      </c>
      <c r="H402" s="5">
        <v>42004</v>
      </c>
      <c r="I402" s="30" t="s">
        <v>1003</v>
      </c>
      <c r="J402" s="4" t="s">
        <v>1962</v>
      </c>
      <c r="K402" s="14" t="s">
        <v>764</v>
      </c>
      <c r="L402" s="3" t="s">
        <v>871</v>
      </c>
      <c r="M402" s="72">
        <f t="shared" si="78"/>
        <v>118900</v>
      </c>
      <c r="N402" s="72">
        <f t="shared" si="82"/>
        <v>118900</v>
      </c>
      <c r="O402" s="72">
        <v>118900</v>
      </c>
      <c r="P402" s="72">
        <v>59200</v>
      </c>
      <c r="Q402" s="256">
        <f t="shared" si="83"/>
        <v>13024</v>
      </c>
      <c r="R402" s="256">
        <f t="shared" si="84"/>
        <v>72224</v>
      </c>
      <c r="S402" s="296"/>
      <c r="T402" s="3">
        <v>23</v>
      </c>
      <c r="U402" s="294"/>
    </row>
    <row r="403" spans="1:21" ht="20.25" customHeight="1" x14ac:dyDescent="0.35">
      <c r="A403" s="218" t="s">
        <v>2683</v>
      </c>
      <c r="B403" s="3">
        <v>377</v>
      </c>
      <c r="C403" s="45">
        <v>10148150</v>
      </c>
      <c r="D403" s="2" t="s">
        <v>603</v>
      </c>
      <c r="E403" s="18" t="s">
        <v>2236</v>
      </c>
      <c r="F403" s="7">
        <v>2</v>
      </c>
      <c r="G403" s="3" t="s">
        <v>0</v>
      </c>
      <c r="H403" s="5">
        <v>42004</v>
      </c>
      <c r="I403" s="30" t="s">
        <v>1003</v>
      </c>
      <c r="J403" s="4" t="s">
        <v>1962</v>
      </c>
      <c r="K403" s="14" t="s">
        <v>765</v>
      </c>
      <c r="L403" s="3" t="s">
        <v>871</v>
      </c>
      <c r="M403" s="72">
        <f t="shared" si="78"/>
        <v>2598</v>
      </c>
      <c r="N403" s="72">
        <f t="shared" si="82"/>
        <v>1299</v>
      </c>
      <c r="O403" s="72">
        <v>2598</v>
      </c>
      <c r="P403" s="72">
        <v>1330</v>
      </c>
      <c r="Q403" s="256">
        <f t="shared" si="83"/>
        <v>292.60000000000002</v>
      </c>
      <c r="R403" s="256">
        <f t="shared" si="84"/>
        <v>1622.6</v>
      </c>
      <c r="S403" s="296"/>
      <c r="T403" s="3">
        <v>23</v>
      </c>
      <c r="U403" s="294"/>
    </row>
    <row r="404" spans="1:21" ht="30.65" customHeight="1" x14ac:dyDescent="0.35">
      <c r="A404" s="218" t="s">
        <v>2684</v>
      </c>
      <c r="B404" s="3">
        <v>378</v>
      </c>
      <c r="C404" s="45">
        <v>102000916</v>
      </c>
      <c r="D404" s="15" t="s">
        <v>618</v>
      </c>
      <c r="E404" s="18" t="s">
        <v>2236</v>
      </c>
      <c r="F404" s="12">
        <v>1</v>
      </c>
      <c r="G404" s="3" t="s">
        <v>0</v>
      </c>
      <c r="H404" s="5">
        <v>42004</v>
      </c>
      <c r="I404" s="30" t="s">
        <v>1003</v>
      </c>
      <c r="J404" s="4" t="s">
        <v>1962</v>
      </c>
      <c r="K404" s="14" t="s">
        <v>772</v>
      </c>
      <c r="L404" s="3" t="s">
        <v>871</v>
      </c>
      <c r="M404" s="72">
        <f t="shared" si="78"/>
        <v>596731.09</v>
      </c>
      <c r="N404" s="72">
        <f t="shared" si="82"/>
        <v>596731.09</v>
      </c>
      <c r="O404" s="72">
        <v>596731.09</v>
      </c>
      <c r="P404" s="72">
        <v>297130</v>
      </c>
      <c r="Q404" s="256">
        <f t="shared" si="83"/>
        <v>65368.6</v>
      </c>
      <c r="R404" s="256">
        <f t="shared" si="84"/>
        <v>362498.6</v>
      </c>
      <c r="S404" s="296"/>
      <c r="T404" s="3">
        <v>23</v>
      </c>
      <c r="U404" s="294"/>
    </row>
    <row r="405" spans="1:21" ht="15" customHeight="1" x14ac:dyDescent="0.35">
      <c r="A405" s="218" t="s">
        <v>2685</v>
      </c>
      <c r="B405" s="3">
        <v>379</v>
      </c>
      <c r="C405" s="45">
        <v>102000702</v>
      </c>
      <c r="D405" s="15" t="s">
        <v>632</v>
      </c>
      <c r="E405" s="18" t="s">
        <v>2236</v>
      </c>
      <c r="F405" s="7">
        <v>3</v>
      </c>
      <c r="G405" s="3" t="s">
        <v>0</v>
      </c>
      <c r="H405" s="5">
        <v>42004</v>
      </c>
      <c r="I405" s="30" t="s">
        <v>1003</v>
      </c>
      <c r="J405" s="4" t="s">
        <v>1962</v>
      </c>
      <c r="K405" s="14" t="s">
        <v>779</v>
      </c>
      <c r="L405" s="3" t="s">
        <v>871</v>
      </c>
      <c r="M405" s="72">
        <f t="shared" si="78"/>
        <v>89655.45</v>
      </c>
      <c r="N405" s="72">
        <f t="shared" si="82"/>
        <v>29885.15</v>
      </c>
      <c r="O405" s="72">
        <v>89655.45</v>
      </c>
      <c r="P405" s="72">
        <v>44640</v>
      </c>
      <c r="Q405" s="256">
        <f t="shared" si="83"/>
        <v>9820.7999999999993</v>
      </c>
      <c r="R405" s="256">
        <f t="shared" si="84"/>
        <v>54460.800000000003</v>
      </c>
      <c r="S405" s="296"/>
      <c r="T405" s="3">
        <v>23</v>
      </c>
      <c r="U405" s="294"/>
    </row>
    <row r="406" spans="1:21" ht="24" customHeight="1" x14ac:dyDescent="0.35">
      <c r="A406" s="218" t="s">
        <v>2686</v>
      </c>
      <c r="B406" s="3">
        <v>380</v>
      </c>
      <c r="C406" s="45">
        <v>10105146</v>
      </c>
      <c r="D406" s="2" t="s">
        <v>635</v>
      </c>
      <c r="E406" s="18" t="s">
        <v>2236</v>
      </c>
      <c r="F406" s="7">
        <v>2</v>
      </c>
      <c r="G406" s="3" t="s">
        <v>0</v>
      </c>
      <c r="H406" s="5">
        <v>42004</v>
      </c>
      <c r="I406" s="30" t="s">
        <v>1003</v>
      </c>
      <c r="J406" s="4" t="s">
        <v>1962</v>
      </c>
      <c r="K406" s="14" t="s">
        <v>782</v>
      </c>
      <c r="L406" s="3" t="s">
        <v>871</v>
      </c>
      <c r="M406" s="72">
        <f t="shared" si="78"/>
        <v>12470.3</v>
      </c>
      <c r="N406" s="72">
        <f t="shared" si="82"/>
        <v>6235.15</v>
      </c>
      <c r="O406" s="72">
        <v>12470.3</v>
      </c>
      <c r="P406" s="72">
        <v>6210</v>
      </c>
      <c r="Q406" s="256">
        <f t="shared" si="83"/>
        <v>1366.2</v>
      </c>
      <c r="R406" s="256">
        <f t="shared" si="84"/>
        <v>7576.2</v>
      </c>
      <c r="S406" s="296"/>
      <c r="T406" s="3">
        <v>23</v>
      </c>
      <c r="U406" s="294"/>
    </row>
    <row r="407" spans="1:21" ht="22.5" customHeight="1" x14ac:dyDescent="0.35">
      <c r="A407" s="218" t="s">
        <v>2687</v>
      </c>
      <c r="B407" s="3">
        <v>381</v>
      </c>
      <c r="C407" s="45">
        <v>10105107</v>
      </c>
      <c r="D407" s="2" t="s">
        <v>636</v>
      </c>
      <c r="E407" s="18" t="s">
        <v>2236</v>
      </c>
      <c r="F407" s="12">
        <v>1</v>
      </c>
      <c r="G407" s="3" t="s">
        <v>0</v>
      </c>
      <c r="H407" s="5">
        <v>42004</v>
      </c>
      <c r="I407" s="30" t="s">
        <v>1003</v>
      </c>
      <c r="J407" s="4" t="s">
        <v>1962</v>
      </c>
      <c r="K407" s="14" t="s">
        <v>783</v>
      </c>
      <c r="L407" s="3" t="s">
        <v>871</v>
      </c>
      <c r="M407" s="72">
        <f t="shared" si="78"/>
        <v>9199.7000000000007</v>
      </c>
      <c r="N407" s="72">
        <f t="shared" si="82"/>
        <v>9199.7000000000007</v>
      </c>
      <c r="O407" s="72">
        <v>9199.7000000000007</v>
      </c>
      <c r="P407" s="72">
        <v>4580</v>
      </c>
      <c r="Q407" s="256">
        <f t="shared" si="83"/>
        <v>1007.6</v>
      </c>
      <c r="R407" s="256">
        <f t="shared" si="84"/>
        <v>5587.6</v>
      </c>
      <c r="S407" s="296"/>
      <c r="T407" s="3">
        <v>23</v>
      </c>
      <c r="U407" s="294"/>
    </row>
    <row r="408" spans="1:21" ht="33.75" customHeight="1" x14ac:dyDescent="0.35">
      <c r="A408" s="218" t="s">
        <v>2688</v>
      </c>
      <c r="B408" s="3">
        <v>382</v>
      </c>
      <c r="C408" s="45">
        <v>102001352</v>
      </c>
      <c r="D408" s="15" t="s">
        <v>638</v>
      </c>
      <c r="E408" s="18" t="s">
        <v>2236</v>
      </c>
      <c r="F408" s="12">
        <v>1</v>
      </c>
      <c r="G408" s="3" t="s">
        <v>0</v>
      </c>
      <c r="H408" s="5">
        <v>42004</v>
      </c>
      <c r="I408" s="30" t="s">
        <v>1003</v>
      </c>
      <c r="J408" s="4" t="s">
        <v>1962</v>
      </c>
      <c r="K408" s="14" t="s">
        <v>784</v>
      </c>
      <c r="L408" s="3" t="s">
        <v>871</v>
      </c>
      <c r="M408" s="72">
        <f t="shared" si="78"/>
        <v>204144.7</v>
      </c>
      <c r="N408" s="72">
        <f t="shared" si="82"/>
        <v>204144.7</v>
      </c>
      <c r="O408" s="72">
        <v>204144.7</v>
      </c>
      <c r="P408" s="72">
        <v>101650</v>
      </c>
      <c r="Q408" s="256">
        <f t="shared" si="83"/>
        <v>22363</v>
      </c>
      <c r="R408" s="256">
        <f t="shared" si="84"/>
        <v>124013</v>
      </c>
      <c r="S408" s="296"/>
      <c r="T408" s="3">
        <v>23</v>
      </c>
      <c r="U408" s="294"/>
    </row>
    <row r="409" spans="1:21" ht="38.15" customHeight="1" x14ac:dyDescent="0.35">
      <c r="A409" s="218" t="s">
        <v>2689</v>
      </c>
      <c r="B409" s="3">
        <v>383</v>
      </c>
      <c r="C409" s="45">
        <v>102000826</v>
      </c>
      <c r="D409" s="15" t="s">
        <v>639</v>
      </c>
      <c r="E409" s="18" t="s">
        <v>2236</v>
      </c>
      <c r="F409" s="12">
        <v>1</v>
      </c>
      <c r="G409" s="3" t="s">
        <v>0</v>
      </c>
      <c r="H409" s="5">
        <v>42004</v>
      </c>
      <c r="I409" s="30" t="s">
        <v>1003</v>
      </c>
      <c r="J409" s="4" t="s">
        <v>1962</v>
      </c>
      <c r="K409" s="14" t="s">
        <v>785</v>
      </c>
      <c r="L409" s="3" t="s">
        <v>871</v>
      </c>
      <c r="M409" s="72">
        <f t="shared" si="78"/>
        <v>37543.870000000003</v>
      </c>
      <c r="N409" s="72">
        <f t="shared" si="82"/>
        <v>37543.870000000003</v>
      </c>
      <c r="O409" s="72">
        <v>37543.870000000003</v>
      </c>
      <c r="P409" s="72">
        <v>18690</v>
      </c>
      <c r="Q409" s="256">
        <f t="shared" si="83"/>
        <v>4111.8</v>
      </c>
      <c r="R409" s="256">
        <f t="shared" si="84"/>
        <v>22801.8</v>
      </c>
      <c r="S409" s="296"/>
      <c r="T409" s="3">
        <v>23</v>
      </c>
      <c r="U409" s="294"/>
    </row>
    <row r="410" spans="1:21" ht="24" customHeight="1" x14ac:dyDescent="0.35">
      <c r="A410" s="218" t="s">
        <v>2690</v>
      </c>
      <c r="B410" s="3">
        <v>384</v>
      </c>
      <c r="C410" s="45">
        <v>102000824</v>
      </c>
      <c r="D410" s="15" t="s">
        <v>641</v>
      </c>
      <c r="E410" s="18" t="s">
        <v>2236</v>
      </c>
      <c r="F410" s="12">
        <v>1</v>
      </c>
      <c r="G410" s="3" t="s">
        <v>0</v>
      </c>
      <c r="H410" s="5">
        <v>42004</v>
      </c>
      <c r="I410" s="30" t="s">
        <v>1003</v>
      </c>
      <c r="J410" s="4" t="s">
        <v>1962</v>
      </c>
      <c r="K410" s="14" t="s">
        <v>786</v>
      </c>
      <c r="L410" s="3" t="s">
        <v>871</v>
      </c>
      <c r="M410" s="72">
        <f t="shared" si="78"/>
        <v>63373.55</v>
      </c>
      <c r="N410" s="72">
        <f t="shared" si="82"/>
        <v>63373.55</v>
      </c>
      <c r="O410" s="72">
        <v>63373.55</v>
      </c>
      <c r="P410" s="72">
        <v>31560</v>
      </c>
      <c r="Q410" s="256">
        <f t="shared" si="83"/>
        <v>6943.2</v>
      </c>
      <c r="R410" s="256">
        <f t="shared" si="84"/>
        <v>38503.199999999997</v>
      </c>
      <c r="S410" s="296"/>
      <c r="T410" s="3">
        <v>23</v>
      </c>
      <c r="U410" s="294"/>
    </row>
    <row r="411" spans="1:21" ht="29.25" customHeight="1" x14ac:dyDescent="0.35">
      <c r="A411" s="218" t="s">
        <v>2691</v>
      </c>
      <c r="B411" s="3">
        <v>385</v>
      </c>
      <c r="C411" s="45">
        <v>102000871</v>
      </c>
      <c r="D411" s="15" t="s">
        <v>651</v>
      </c>
      <c r="E411" s="18" t="s">
        <v>2236</v>
      </c>
      <c r="F411" s="7">
        <v>8</v>
      </c>
      <c r="G411" s="3" t="s">
        <v>0</v>
      </c>
      <c r="H411" s="5">
        <v>42004</v>
      </c>
      <c r="I411" s="30" t="s">
        <v>1003</v>
      </c>
      <c r="J411" s="4" t="s">
        <v>1962</v>
      </c>
      <c r="K411" s="14" t="s">
        <v>624</v>
      </c>
      <c r="L411" s="3" t="s">
        <v>871</v>
      </c>
      <c r="M411" s="72">
        <f t="shared" si="78"/>
        <v>2534564.48</v>
      </c>
      <c r="N411" s="72">
        <f t="shared" si="82"/>
        <v>316820.56</v>
      </c>
      <c r="O411" s="72">
        <v>2534564.48</v>
      </c>
      <c r="P411" s="72">
        <v>1262030</v>
      </c>
      <c r="Q411" s="256">
        <f t="shared" si="83"/>
        <v>277646.59999999998</v>
      </c>
      <c r="R411" s="256">
        <f t="shared" si="84"/>
        <v>1539676.6</v>
      </c>
      <c r="S411" s="296"/>
      <c r="T411" s="3">
        <v>23</v>
      </c>
      <c r="U411" s="294"/>
    </row>
    <row r="412" spans="1:21" ht="34.5" customHeight="1" x14ac:dyDescent="0.35">
      <c r="A412" s="218" t="s">
        <v>2692</v>
      </c>
      <c r="B412" s="3">
        <v>386</v>
      </c>
      <c r="C412" s="45">
        <v>102001366</v>
      </c>
      <c r="D412" s="15" t="s">
        <v>291</v>
      </c>
      <c r="E412" s="18" t="s">
        <v>2236</v>
      </c>
      <c r="F412" s="7">
        <v>2</v>
      </c>
      <c r="G412" s="3" t="s">
        <v>0</v>
      </c>
      <c r="H412" s="5">
        <v>42004</v>
      </c>
      <c r="I412" s="30" t="s">
        <v>1003</v>
      </c>
      <c r="J412" s="4" t="s">
        <v>1962</v>
      </c>
      <c r="K412" s="14" t="s">
        <v>625</v>
      </c>
      <c r="L412" s="3" t="s">
        <v>871</v>
      </c>
      <c r="M412" s="72">
        <f t="shared" si="78"/>
        <v>746892.80000000005</v>
      </c>
      <c r="N412" s="72">
        <f t="shared" si="82"/>
        <v>373446.40000000002</v>
      </c>
      <c r="O412" s="72">
        <v>746892.80000000005</v>
      </c>
      <c r="P412" s="72">
        <v>371900</v>
      </c>
      <c r="Q412" s="256">
        <f t="shared" si="83"/>
        <v>81818</v>
      </c>
      <c r="R412" s="256">
        <f t="shared" si="84"/>
        <v>453718</v>
      </c>
      <c r="S412" s="296"/>
      <c r="T412" s="3">
        <v>23</v>
      </c>
      <c r="U412" s="294"/>
    </row>
    <row r="413" spans="1:21" ht="39" customHeight="1" x14ac:dyDescent="0.35">
      <c r="A413" s="218" t="s">
        <v>2693</v>
      </c>
      <c r="B413" s="3">
        <v>387</v>
      </c>
      <c r="C413" s="45">
        <v>102001001</v>
      </c>
      <c r="D413" s="15" t="s">
        <v>653</v>
      </c>
      <c r="E413" s="18" t="s">
        <v>2236</v>
      </c>
      <c r="F413" s="12">
        <v>1</v>
      </c>
      <c r="G413" s="3" t="s">
        <v>0</v>
      </c>
      <c r="H413" s="5">
        <v>42004</v>
      </c>
      <c r="I413" s="30" t="s">
        <v>1003</v>
      </c>
      <c r="J413" s="4" t="s">
        <v>1962</v>
      </c>
      <c r="K413" s="14" t="s">
        <v>626</v>
      </c>
      <c r="L413" s="3" t="s">
        <v>871</v>
      </c>
      <c r="M413" s="72">
        <f t="shared" si="78"/>
        <v>87647.19</v>
      </c>
      <c r="N413" s="72">
        <f t="shared" si="82"/>
        <v>87647.19</v>
      </c>
      <c r="O413" s="72">
        <v>87647.19</v>
      </c>
      <c r="P413" s="72">
        <v>43640</v>
      </c>
      <c r="Q413" s="256">
        <f t="shared" si="83"/>
        <v>9600.7999999999993</v>
      </c>
      <c r="R413" s="256">
        <f t="shared" si="84"/>
        <v>53240.800000000003</v>
      </c>
      <c r="S413" s="296"/>
      <c r="T413" s="3">
        <v>23</v>
      </c>
      <c r="U413" s="294"/>
    </row>
    <row r="414" spans="1:21" ht="30" customHeight="1" x14ac:dyDescent="0.35">
      <c r="A414" s="218" t="s">
        <v>2694</v>
      </c>
      <c r="B414" s="3">
        <v>388</v>
      </c>
      <c r="C414" s="45">
        <v>102001209</v>
      </c>
      <c r="D414" s="15" t="s">
        <v>654</v>
      </c>
      <c r="E414" s="18" t="s">
        <v>2236</v>
      </c>
      <c r="F414" s="12">
        <v>1</v>
      </c>
      <c r="G414" s="3" t="s">
        <v>0</v>
      </c>
      <c r="H414" s="5">
        <v>42004</v>
      </c>
      <c r="I414" s="30" t="s">
        <v>1003</v>
      </c>
      <c r="J414" s="4" t="s">
        <v>1962</v>
      </c>
      <c r="K414" s="14" t="s">
        <v>789</v>
      </c>
      <c r="L414" s="3" t="s">
        <v>871</v>
      </c>
      <c r="M414" s="72">
        <f t="shared" si="78"/>
        <v>536487.71</v>
      </c>
      <c r="N414" s="72">
        <f t="shared" si="82"/>
        <v>536487.71</v>
      </c>
      <c r="O414" s="72">
        <v>536487.71</v>
      </c>
      <c r="P414" s="72">
        <v>267130</v>
      </c>
      <c r="Q414" s="256">
        <f t="shared" si="83"/>
        <v>58768.6</v>
      </c>
      <c r="R414" s="256">
        <f t="shared" si="84"/>
        <v>325898.59999999998</v>
      </c>
      <c r="S414" s="296"/>
      <c r="T414" s="3">
        <v>23</v>
      </c>
      <c r="U414" s="294"/>
    </row>
    <row r="415" spans="1:21" ht="30" customHeight="1" x14ac:dyDescent="0.35">
      <c r="A415" s="218" t="s">
        <v>2695</v>
      </c>
      <c r="B415" s="3">
        <v>389</v>
      </c>
      <c r="C415" s="45">
        <v>102000789</v>
      </c>
      <c r="D415" s="15" t="s">
        <v>655</v>
      </c>
      <c r="E415" s="18" t="s">
        <v>2236</v>
      </c>
      <c r="F415" s="12">
        <v>1</v>
      </c>
      <c r="G415" s="3" t="s">
        <v>0</v>
      </c>
      <c r="H415" s="5">
        <v>42004</v>
      </c>
      <c r="I415" s="30" t="s">
        <v>1003</v>
      </c>
      <c r="J415" s="4" t="s">
        <v>1962</v>
      </c>
      <c r="K415" s="14" t="s">
        <v>791</v>
      </c>
      <c r="L415" s="3" t="s">
        <v>871</v>
      </c>
      <c r="M415" s="72">
        <f t="shared" si="78"/>
        <v>196793.06</v>
      </c>
      <c r="N415" s="72">
        <f t="shared" si="82"/>
        <v>196793.06</v>
      </c>
      <c r="O415" s="72">
        <v>196793.06</v>
      </c>
      <c r="P415" s="72">
        <v>97990</v>
      </c>
      <c r="Q415" s="256">
        <f t="shared" si="83"/>
        <v>21557.8</v>
      </c>
      <c r="R415" s="256">
        <f t="shared" si="84"/>
        <v>119547.8</v>
      </c>
      <c r="S415" s="296"/>
      <c r="T415" s="3">
        <v>23</v>
      </c>
      <c r="U415" s="294"/>
    </row>
    <row r="416" spans="1:21" ht="30" customHeight="1" x14ac:dyDescent="0.35">
      <c r="A416" s="218" t="s">
        <v>2696</v>
      </c>
      <c r="B416" s="3">
        <v>390</v>
      </c>
      <c r="C416" s="45">
        <v>102000805</v>
      </c>
      <c r="D416" s="15" t="s">
        <v>683</v>
      </c>
      <c r="E416" s="18" t="s">
        <v>2236</v>
      </c>
      <c r="F416" s="12">
        <v>1</v>
      </c>
      <c r="G416" s="3" t="s">
        <v>0</v>
      </c>
      <c r="H416" s="5">
        <v>42004</v>
      </c>
      <c r="I416" s="30" t="s">
        <v>1003</v>
      </c>
      <c r="J416" s="4" t="s">
        <v>1962</v>
      </c>
      <c r="K416" s="14" t="s">
        <v>806</v>
      </c>
      <c r="L416" s="3" t="s">
        <v>871</v>
      </c>
      <c r="M416" s="72">
        <f t="shared" si="78"/>
        <v>339438</v>
      </c>
      <c r="N416" s="72">
        <f t="shared" ref="N416:N447" si="85">O416/F416</f>
        <v>339438</v>
      </c>
      <c r="O416" s="72">
        <v>339438</v>
      </c>
      <c r="P416" s="72">
        <v>169020</v>
      </c>
      <c r="Q416" s="256">
        <f t="shared" si="83"/>
        <v>37184.400000000001</v>
      </c>
      <c r="R416" s="256">
        <f t="shared" si="84"/>
        <v>206204.4</v>
      </c>
      <c r="S416" s="296"/>
      <c r="T416" s="3">
        <v>23</v>
      </c>
      <c r="U416" s="294"/>
    </row>
    <row r="417" spans="1:21" ht="30" customHeight="1" x14ac:dyDescent="0.35">
      <c r="A417" s="218" t="s">
        <v>2697</v>
      </c>
      <c r="B417" s="3">
        <v>391</v>
      </c>
      <c r="C417" s="45">
        <v>102001514</v>
      </c>
      <c r="D417" s="15" t="s">
        <v>684</v>
      </c>
      <c r="E417" s="18" t="s">
        <v>2236</v>
      </c>
      <c r="F417" s="12">
        <v>1</v>
      </c>
      <c r="G417" s="3" t="s">
        <v>0</v>
      </c>
      <c r="H417" s="5">
        <v>42004</v>
      </c>
      <c r="I417" s="30" t="s">
        <v>1003</v>
      </c>
      <c r="J417" s="4" t="s">
        <v>1962</v>
      </c>
      <c r="K417" s="14" t="s">
        <v>807</v>
      </c>
      <c r="L417" s="3" t="s">
        <v>871</v>
      </c>
      <c r="M417" s="72">
        <f t="shared" si="78"/>
        <v>408660</v>
      </c>
      <c r="N417" s="72">
        <f t="shared" si="85"/>
        <v>408660</v>
      </c>
      <c r="O417" s="72">
        <v>408660</v>
      </c>
      <c r="P417" s="72">
        <v>203480</v>
      </c>
      <c r="Q417" s="256">
        <f t="shared" ref="Q417:Q448" si="86">R417-P417</f>
        <v>44765.599999999999</v>
      </c>
      <c r="R417" s="256">
        <f t="shared" ref="R417:R448" si="87">P417*1.22</f>
        <v>248245.6</v>
      </c>
      <c r="S417" s="296"/>
      <c r="T417" s="3">
        <v>23</v>
      </c>
      <c r="U417" s="294"/>
    </row>
    <row r="418" spans="1:21" ht="30" customHeight="1" x14ac:dyDescent="0.35">
      <c r="A418" s="218" t="s">
        <v>2698</v>
      </c>
      <c r="B418" s="3">
        <v>392</v>
      </c>
      <c r="C418" s="58">
        <v>10137234</v>
      </c>
      <c r="D418" s="21" t="s">
        <v>878</v>
      </c>
      <c r="E418" s="18" t="s">
        <v>2197</v>
      </c>
      <c r="F418" s="22">
        <v>2</v>
      </c>
      <c r="G418" s="3" t="s">
        <v>0</v>
      </c>
      <c r="H418" s="50">
        <v>2010</v>
      </c>
      <c r="I418" s="4" t="s">
        <v>999</v>
      </c>
      <c r="J418" s="4" t="s">
        <v>1962</v>
      </c>
      <c r="K418" s="4" t="s">
        <v>988</v>
      </c>
      <c r="L418" s="5" t="s">
        <v>871</v>
      </c>
      <c r="M418" s="72">
        <f t="shared" si="78"/>
        <v>31668</v>
      </c>
      <c r="N418" s="72">
        <f t="shared" si="85"/>
        <v>15834</v>
      </c>
      <c r="O418" s="72">
        <v>31668</v>
      </c>
      <c r="P418" s="72">
        <v>17690</v>
      </c>
      <c r="Q418" s="256">
        <f t="shared" si="86"/>
        <v>3891.8</v>
      </c>
      <c r="R418" s="256">
        <f t="shared" si="87"/>
        <v>21581.8</v>
      </c>
      <c r="S418" s="296"/>
      <c r="T418" s="3">
        <v>23</v>
      </c>
      <c r="U418" s="294"/>
    </row>
    <row r="419" spans="1:21" ht="39.75" customHeight="1" x14ac:dyDescent="0.35">
      <c r="A419" s="218" t="s">
        <v>2699</v>
      </c>
      <c r="B419" s="3">
        <v>393</v>
      </c>
      <c r="C419" s="58">
        <v>10137232</v>
      </c>
      <c r="D419" s="21" t="s">
        <v>879</v>
      </c>
      <c r="E419" s="18" t="s">
        <v>2197</v>
      </c>
      <c r="F419" s="22">
        <v>2</v>
      </c>
      <c r="G419" s="3" t="s">
        <v>0</v>
      </c>
      <c r="H419" s="50" t="s">
        <v>2195</v>
      </c>
      <c r="I419" s="4" t="s">
        <v>999</v>
      </c>
      <c r="J419" s="4" t="s">
        <v>1962</v>
      </c>
      <c r="K419" s="4" t="s">
        <v>988</v>
      </c>
      <c r="L419" s="5" t="s">
        <v>871</v>
      </c>
      <c r="M419" s="72">
        <f t="shared" si="78"/>
        <v>20748</v>
      </c>
      <c r="N419" s="72">
        <f t="shared" si="85"/>
        <v>10374</v>
      </c>
      <c r="O419" s="72">
        <v>20748</v>
      </c>
      <c r="P419" s="72">
        <v>11590</v>
      </c>
      <c r="Q419" s="256">
        <f t="shared" si="86"/>
        <v>2549.8000000000002</v>
      </c>
      <c r="R419" s="256">
        <f t="shared" si="87"/>
        <v>14139.8</v>
      </c>
      <c r="S419" s="296"/>
      <c r="T419" s="3">
        <v>23</v>
      </c>
      <c r="U419" s="294"/>
    </row>
    <row r="420" spans="1:21" ht="39.75" customHeight="1" x14ac:dyDescent="0.35">
      <c r="A420" s="218" t="s">
        <v>2700</v>
      </c>
      <c r="B420" s="3">
        <v>394</v>
      </c>
      <c r="C420" s="58">
        <v>10137233</v>
      </c>
      <c r="D420" s="21" t="s">
        <v>880</v>
      </c>
      <c r="E420" s="18" t="s">
        <v>2197</v>
      </c>
      <c r="F420" s="22">
        <v>2</v>
      </c>
      <c r="G420" s="3" t="s">
        <v>0</v>
      </c>
      <c r="H420" s="50" t="s">
        <v>2195</v>
      </c>
      <c r="I420" s="4" t="s">
        <v>999</v>
      </c>
      <c r="J420" s="4" t="s">
        <v>1962</v>
      </c>
      <c r="K420" s="4" t="s">
        <v>988</v>
      </c>
      <c r="L420" s="5" t="s">
        <v>871</v>
      </c>
      <c r="M420" s="72">
        <f t="shared" si="78"/>
        <v>8736</v>
      </c>
      <c r="N420" s="72">
        <f t="shared" si="85"/>
        <v>4368</v>
      </c>
      <c r="O420" s="72">
        <v>8736</v>
      </c>
      <c r="P420" s="72">
        <v>4880</v>
      </c>
      <c r="Q420" s="256">
        <f t="shared" si="86"/>
        <v>1073.5999999999999</v>
      </c>
      <c r="R420" s="256">
        <f t="shared" si="87"/>
        <v>5953.6</v>
      </c>
      <c r="S420" s="296"/>
      <c r="T420" s="3">
        <v>23</v>
      </c>
      <c r="U420" s="294"/>
    </row>
    <row r="421" spans="1:21" ht="39.75" customHeight="1" x14ac:dyDescent="0.35">
      <c r="A421" s="218" t="s">
        <v>2701</v>
      </c>
      <c r="B421" s="3">
        <v>395</v>
      </c>
      <c r="C421" s="58">
        <v>102001397</v>
      </c>
      <c r="D421" s="21" t="s">
        <v>914</v>
      </c>
      <c r="E421" s="18" t="s">
        <v>2201</v>
      </c>
      <c r="F421" s="22">
        <v>2</v>
      </c>
      <c r="G421" s="3" t="s">
        <v>0</v>
      </c>
      <c r="H421" s="33">
        <v>42004</v>
      </c>
      <c r="I421" s="4" t="s">
        <v>999</v>
      </c>
      <c r="J421" s="4" t="s">
        <v>1962</v>
      </c>
      <c r="K421" s="4" t="s">
        <v>988</v>
      </c>
      <c r="L421" s="5" t="s">
        <v>871</v>
      </c>
      <c r="M421" s="72">
        <f t="shared" si="78"/>
        <v>53032</v>
      </c>
      <c r="N421" s="72">
        <f t="shared" si="85"/>
        <v>26516</v>
      </c>
      <c r="O421" s="72">
        <v>53032</v>
      </c>
      <c r="P421" s="72">
        <v>26410</v>
      </c>
      <c r="Q421" s="256">
        <f t="shared" si="86"/>
        <v>5810.2</v>
      </c>
      <c r="R421" s="256">
        <f t="shared" si="87"/>
        <v>32220.2</v>
      </c>
      <c r="S421" s="296"/>
      <c r="T421" s="3">
        <v>23</v>
      </c>
      <c r="U421" s="294"/>
    </row>
    <row r="422" spans="1:21" ht="39.75" customHeight="1" x14ac:dyDescent="0.35">
      <c r="A422" s="218" t="s">
        <v>2702</v>
      </c>
      <c r="B422" s="3">
        <v>396</v>
      </c>
      <c r="C422" s="58">
        <v>10122499</v>
      </c>
      <c r="D422" s="21" t="s">
        <v>921</v>
      </c>
      <c r="E422" s="18" t="s">
        <v>2197</v>
      </c>
      <c r="F422" s="22">
        <v>2</v>
      </c>
      <c r="G422" s="3" t="s">
        <v>0</v>
      </c>
      <c r="H422" s="33">
        <v>42170</v>
      </c>
      <c r="I422" s="4" t="s">
        <v>999</v>
      </c>
      <c r="J422" s="4" t="s">
        <v>1962</v>
      </c>
      <c r="K422" s="4" t="s">
        <v>988</v>
      </c>
      <c r="L422" s="5" t="s">
        <v>871</v>
      </c>
      <c r="M422" s="72">
        <f t="shared" si="78"/>
        <v>327360.56</v>
      </c>
      <c r="N422" s="72">
        <f t="shared" si="85"/>
        <v>163680.28</v>
      </c>
      <c r="O422" s="72">
        <v>327360.56</v>
      </c>
      <c r="P422" s="72">
        <v>153450</v>
      </c>
      <c r="Q422" s="256">
        <f t="shared" si="86"/>
        <v>33759</v>
      </c>
      <c r="R422" s="256">
        <f t="shared" si="87"/>
        <v>187209</v>
      </c>
      <c r="S422" s="296"/>
      <c r="T422" s="3">
        <v>23</v>
      </c>
      <c r="U422" s="294"/>
    </row>
    <row r="423" spans="1:21" ht="39.75" customHeight="1" x14ac:dyDescent="0.35">
      <c r="A423" s="218" t="s">
        <v>2703</v>
      </c>
      <c r="B423" s="3">
        <v>397</v>
      </c>
      <c r="C423" s="58">
        <v>102001008</v>
      </c>
      <c r="D423" s="21" t="s">
        <v>949</v>
      </c>
      <c r="E423" s="18" t="s">
        <v>2197</v>
      </c>
      <c r="F423" s="7">
        <v>1</v>
      </c>
      <c r="G423" s="3" t="s">
        <v>0</v>
      </c>
      <c r="H423" s="50" t="s">
        <v>2195</v>
      </c>
      <c r="I423" s="4" t="s">
        <v>999</v>
      </c>
      <c r="J423" s="4" t="s">
        <v>1962</v>
      </c>
      <c r="K423" s="4" t="s">
        <v>988</v>
      </c>
      <c r="L423" s="5" t="s">
        <v>871</v>
      </c>
      <c r="M423" s="72">
        <f t="shared" si="78"/>
        <v>38750</v>
      </c>
      <c r="N423" s="72">
        <f t="shared" si="85"/>
        <v>38750</v>
      </c>
      <c r="O423" s="72">
        <v>38750</v>
      </c>
      <c r="P423" s="72">
        <v>21640</v>
      </c>
      <c r="Q423" s="256">
        <f t="shared" si="86"/>
        <v>4760.8</v>
      </c>
      <c r="R423" s="256">
        <f t="shared" si="87"/>
        <v>26400.799999999999</v>
      </c>
      <c r="S423" s="296"/>
      <c r="T423" s="3">
        <v>23</v>
      </c>
      <c r="U423" s="294"/>
    </row>
    <row r="424" spans="1:21" ht="39.75" customHeight="1" x14ac:dyDescent="0.35">
      <c r="A424" s="218" t="s">
        <v>2704</v>
      </c>
      <c r="B424" s="3">
        <v>398</v>
      </c>
      <c r="C424" s="58">
        <v>102000746</v>
      </c>
      <c r="D424" s="21" t="s">
        <v>950</v>
      </c>
      <c r="E424" s="18" t="s">
        <v>2197</v>
      </c>
      <c r="F424" s="7">
        <v>1</v>
      </c>
      <c r="G424" s="3" t="s">
        <v>0</v>
      </c>
      <c r="H424" s="50" t="s">
        <v>2195</v>
      </c>
      <c r="I424" s="4" t="s">
        <v>999</v>
      </c>
      <c r="J424" s="4" t="s">
        <v>1962</v>
      </c>
      <c r="K424" s="4" t="s">
        <v>988</v>
      </c>
      <c r="L424" s="5" t="s">
        <v>871</v>
      </c>
      <c r="M424" s="72">
        <f t="shared" si="78"/>
        <v>828040</v>
      </c>
      <c r="N424" s="72">
        <f t="shared" si="85"/>
        <v>828040</v>
      </c>
      <c r="O424" s="72">
        <v>828040</v>
      </c>
      <c r="P424" s="72">
        <v>462510</v>
      </c>
      <c r="Q424" s="256">
        <f t="shared" si="86"/>
        <v>101752.2</v>
      </c>
      <c r="R424" s="256">
        <f t="shared" si="87"/>
        <v>564262.19999999995</v>
      </c>
      <c r="S424" s="296"/>
      <c r="T424" s="3">
        <v>23</v>
      </c>
      <c r="U424" s="294"/>
    </row>
    <row r="425" spans="1:21" ht="39.75" customHeight="1" x14ac:dyDescent="0.35">
      <c r="A425" s="218" t="s">
        <v>2705</v>
      </c>
      <c r="B425" s="3">
        <v>399</v>
      </c>
      <c r="C425" s="58">
        <v>102000882</v>
      </c>
      <c r="D425" s="21" t="s">
        <v>951</v>
      </c>
      <c r="E425" s="18" t="s">
        <v>2197</v>
      </c>
      <c r="F425" s="7">
        <v>1</v>
      </c>
      <c r="G425" s="3" t="s">
        <v>0</v>
      </c>
      <c r="H425" s="50" t="s">
        <v>2195</v>
      </c>
      <c r="I425" s="4" t="s">
        <v>999</v>
      </c>
      <c r="J425" s="31" t="s">
        <v>986</v>
      </c>
      <c r="K425" s="4" t="s">
        <v>988</v>
      </c>
      <c r="L425" s="5" t="s">
        <v>871</v>
      </c>
      <c r="M425" s="72">
        <f t="shared" si="78"/>
        <v>62250</v>
      </c>
      <c r="N425" s="72">
        <f t="shared" si="85"/>
        <v>62250</v>
      </c>
      <c r="O425" s="72">
        <v>62250</v>
      </c>
      <c r="P425" s="72">
        <v>34770</v>
      </c>
      <c r="Q425" s="256">
        <f t="shared" si="86"/>
        <v>7649.4</v>
      </c>
      <c r="R425" s="256">
        <f t="shared" si="87"/>
        <v>42419.4</v>
      </c>
      <c r="S425" s="296"/>
      <c r="T425" s="3">
        <v>23</v>
      </c>
      <c r="U425" s="294"/>
    </row>
    <row r="426" spans="1:21" ht="39.75" customHeight="1" x14ac:dyDescent="0.35">
      <c r="A426" s="218" t="s">
        <v>2706</v>
      </c>
      <c r="B426" s="3">
        <v>400</v>
      </c>
      <c r="C426" s="58">
        <v>102000787</v>
      </c>
      <c r="D426" s="21" t="s">
        <v>961</v>
      </c>
      <c r="E426" s="18" t="s">
        <v>2197</v>
      </c>
      <c r="F426" s="7">
        <v>1</v>
      </c>
      <c r="G426" s="3" t="s">
        <v>0</v>
      </c>
      <c r="H426" s="50" t="s">
        <v>2195</v>
      </c>
      <c r="I426" s="4" t="s">
        <v>999</v>
      </c>
      <c r="J426" s="4" t="s">
        <v>1962</v>
      </c>
      <c r="K426" s="4" t="s">
        <v>988</v>
      </c>
      <c r="L426" s="5" t="s">
        <v>871</v>
      </c>
      <c r="M426" s="72">
        <f t="shared" si="78"/>
        <v>120790</v>
      </c>
      <c r="N426" s="72">
        <f t="shared" si="85"/>
        <v>120790</v>
      </c>
      <c r="O426" s="72">
        <v>120790</v>
      </c>
      <c r="P426" s="72">
        <v>67470</v>
      </c>
      <c r="Q426" s="256">
        <f t="shared" si="86"/>
        <v>14843.4</v>
      </c>
      <c r="R426" s="256">
        <f t="shared" si="87"/>
        <v>82313.399999999994</v>
      </c>
      <c r="S426" s="296"/>
      <c r="T426" s="3">
        <v>23</v>
      </c>
      <c r="U426" s="294"/>
    </row>
    <row r="427" spans="1:21" ht="39.75" customHeight="1" x14ac:dyDescent="0.35">
      <c r="A427" s="218" t="s">
        <v>2707</v>
      </c>
      <c r="B427" s="3">
        <v>401</v>
      </c>
      <c r="C427" s="58">
        <v>102001533</v>
      </c>
      <c r="D427" s="21" t="s">
        <v>962</v>
      </c>
      <c r="E427" s="18" t="s">
        <v>2197</v>
      </c>
      <c r="F427" s="7">
        <v>1</v>
      </c>
      <c r="G427" s="3" t="s">
        <v>0</v>
      </c>
      <c r="H427" s="50" t="s">
        <v>2195</v>
      </c>
      <c r="I427" s="4" t="s">
        <v>999</v>
      </c>
      <c r="J427" s="4" t="s">
        <v>1962</v>
      </c>
      <c r="K427" s="4" t="s">
        <v>988</v>
      </c>
      <c r="L427" s="5" t="s">
        <v>871</v>
      </c>
      <c r="M427" s="72">
        <f t="shared" si="78"/>
        <v>251850</v>
      </c>
      <c r="N427" s="72">
        <f t="shared" si="85"/>
        <v>251850</v>
      </c>
      <c r="O427" s="72">
        <v>251850</v>
      </c>
      <c r="P427" s="72">
        <v>140670</v>
      </c>
      <c r="Q427" s="256">
        <f t="shared" si="86"/>
        <v>30947.4</v>
      </c>
      <c r="R427" s="256">
        <f t="shared" si="87"/>
        <v>171617.4</v>
      </c>
      <c r="S427" s="296"/>
      <c r="T427" s="3">
        <v>23</v>
      </c>
      <c r="U427" s="294"/>
    </row>
    <row r="428" spans="1:21" ht="39.75" customHeight="1" x14ac:dyDescent="0.35">
      <c r="A428" s="218" t="s">
        <v>2708</v>
      </c>
      <c r="B428" s="3">
        <v>402</v>
      </c>
      <c r="C428" s="58">
        <v>102000931</v>
      </c>
      <c r="D428" s="21" t="s">
        <v>963</v>
      </c>
      <c r="E428" s="18" t="s">
        <v>2197</v>
      </c>
      <c r="F428" s="7">
        <v>1</v>
      </c>
      <c r="G428" s="3" t="s">
        <v>0</v>
      </c>
      <c r="H428" s="50" t="s">
        <v>2195</v>
      </c>
      <c r="I428" s="4" t="s">
        <v>999</v>
      </c>
      <c r="J428" s="31" t="s">
        <v>986</v>
      </c>
      <c r="K428" s="4" t="s">
        <v>988</v>
      </c>
      <c r="L428" s="5" t="s">
        <v>871</v>
      </c>
      <c r="M428" s="72">
        <f t="shared" si="78"/>
        <v>106610</v>
      </c>
      <c r="N428" s="72">
        <f t="shared" si="85"/>
        <v>106610</v>
      </c>
      <c r="O428" s="72">
        <v>106610</v>
      </c>
      <c r="P428" s="72">
        <v>59550</v>
      </c>
      <c r="Q428" s="256">
        <f t="shared" si="86"/>
        <v>13101</v>
      </c>
      <c r="R428" s="256">
        <f t="shared" si="87"/>
        <v>72651</v>
      </c>
      <c r="S428" s="296"/>
      <c r="T428" s="3">
        <v>23</v>
      </c>
      <c r="U428" s="294"/>
    </row>
    <row r="429" spans="1:21" ht="39.75" customHeight="1" x14ac:dyDescent="0.35">
      <c r="A429" s="218" t="s">
        <v>2709</v>
      </c>
      <c r="B429" s="3">
        <v>403</v>
      </c>
      <c r="C429" s="68">
        <v>10112433</v>
      </c>
      <c r="D429" s="24" t="s">
        <v>1071</v>
      </c>
      <c r="E429" s="18" t="s">
        <v>2237</v>
      </c>
      <c r="F429" s="91">
        <v>16</v>
      </c>
      <c r="G429" s="3" t="s">
        <v>0</v>
      </c>
      <c r="H429" s="54" t="s">
        <v>522</v>
      </c>
      <c r="I429" s="4" t="s">
        <v>989</v>
      </c>
      <c r="J429" s="25" t="s">
        <v>2285</v>
      </c>
      <c r="K429" s="23" t="s">
        <v>1071</v>
      </c>
      <c r="L429" s="6" t="s">
        <v>871</v>
      </c>
      <c r="M429" s="81">
        <f t="shared" si="78"/>
        <v>22549.7</v>
      </c>
      <c r="N429" s="81">
        <f t="shared" si="85"/>
        <v>1409.36</v>
      </c>
      <c r="O429" s="81">
        <v>22549.7</v>
      </c>
      <c r="P429" s="72">
        <v>11520</v>
      </c>
      <c r="Q429" s="256">
        <f t="shared" si="86"/>
        <v>2534.4</v>
      </c>
      <c r="R429" s="256">
        <f t="shared" si="87"/>
        <v>14054.4</v>
      </c>
      <c r="S429" s="296"/>
      <c r="T429" s="3">
        <v>23</v>
      </c>
      <c r="U429" s="294"/>
    </row>
    <row r="430" spans="1:21" ht="39.75" customHeight="1" x14ac:dyDescent="0.35">
      <c r="A430" s="218" t="s">
        <v>2710</v>
      </c>
      <c r="B430" s="3">
        <v>404</v>
      </c>
      <c r="C430" s="68">
        <v>10123497</v>
      </c>
      <c r="D430" s="24" t="s">
        <v>1077</v>
      </c>
      <c r="E430" s="18" t="s">
        <v>2237</v>
      </c>
      <c r="F430" s="91">
        <v>39</v>
      </c>
      <c r="G430" s="3" t="s">
        <v>0</v>
      </c>
      <c r="H430" s="54" t="s">
        <v>523</v>
      </c>
      <c r="I430" s="4" t="s">
        <v>989</v>
      </c>
      <c r="J430" s="4" t="s">
        <v>1962</v>
      </c>
      <c r="K430" s="23" t="s">
        <v>1241</v>
      </c>
      <c r="L430" s="6" t="s">
        <v>871</v>
      </c>
      <c r="M430" s="81">
        <f t="shared" si="78"/>
        <v>8.26</v>
      </c>
      <c r="N430" s="81">
        <f t="shared" si="85"/>
        <v>0.21</v>
      </c>
      <c r="O430" s="81">
        <v>8.26</v>
      </c>
      <c r="P430" s="72">
        <v>4</v>
      </c>
      <c r="Q430" s="256">
        <f t="shared" si="86"/>
        <v>0.88</v>
      </c>
      <c r="R430" s="256">
        <f t="shared" si="87"/>
        <v>4.88</v>
      </c>
      <c r="S430" s="296"/>
      <c r="T430" s="3">
        <v>23</v>
      </c>
      <c r="U430" s="294"/>
    </row>
    <row r="431" spans="1:21" ht="39.75" customHeight="1" x14ac:dyDescent="0.35">
      <c r="A431" s="218" t="s">
        <v>2711</v>
      </c>
      <c r="B431" s="3">
        <v>405</v>
      </c>
      <c r="C431" s="68">
        <v>10124392</v>
      </c>
      <c r="D431" s="24" t="s">
        <v>1078</v>
      </c>
      <c r="E431" s="18" t="s">
        <v>2237</v>
      </c>
      <c r="F431" s="91">
        <v>1216</v>
      </c>
      <c r="G431" s="3" t="s">
        <v>0</v>
      </c>
      <c r="H431" s="54" t="s">
        <v>523</v>
      </c>
      <c r="I431" s="4" t="s">
        <v>989</v>
      </c>
      <c r="J431" s="4" t="s">
        <v>1962</v>
      </c>
      <c r="K431" s="23" t="s">
        <v>1242</v>
      </c>
      <c r="L431" s="6" t="s">
        <v>871</v>
      </c>
      <c r="M431" s="81">
        <f t="shared" ref="M431:M496" si="88">O431</f>
        <v>8120.4</v>
      </c>
      <c r="N431" s="81">
        <f t="shared" si="85"/>
        <v>6.68</v>
      </c>
      <c r="O431" s="81">
        <v>8120.4</v>
      </c>
      <c r="P431" s="72">
        <v>4230</v>
      </c>
      <c r="Q431" s="256">
        <f t="shared" si="86"/>
        <v>930.6</v>
      </c>
      <c r="R431" s="256">
        <f t="shared" si="87"/>
        <v>5160.6000000000004</v>
      </c>
      <c r="S431" s="296"/>
      <c r="T431" s="3">
        <v>23</v>
      </c>
      <c r="U431" s="294"/>
    </row>
    <row r="432" spans="1:21" ht="39.75" customHeight="1" x14ac:dyDescent="0.35">
      <c r="A432" s="218" t="s">
        <v>2712</v>
      </c>
      <c r="B432" s="3">
        <v>406</v>
      </c>
      <c r="C432" s="68">
        <v>10124393</v>
      </c>
      <c r="D432" s="24" t="s">
        <v>1079</v>
      </c>
      <c r="E432" s="18" t="s">
        <v>2237</v>
      </c>
      <c r="F432" s="91">
        <v>1225</v>
      </c>
      <c r="G432" s="3" t="s">
        <v>0</v>
      </c>
      <c r="H432" s="54" t="s">
        <v>523</v>
      </c>
      <c r="I432" s="4" t="s">
        <v>989</v>
      </c>
      <c r="J432" s="4" t="s">
        <v>1962</v>
      </c>
      <c r="K432" s="23" t="s">
        <v>1243</v>
      </c>
      <c r="L432" s="6" t="s">
        <v>871</v>
      </c>
      <c r="M432" s="81">
        <f t="shared" si="88"/>
        <v>16579.009999999998</v>
      </c>
      <c r="N432" s="81">
        <f t="shared" si="85"/>
        <v>13.53</v>
      </c>
      <c r="O432" s="81">
        <v>16579.009999999998</v>
      </c>
      <c r="P432" s="72">
        <v>8630</v>
      </c>
      <c r="Q432" s="256">
        <f t="shared" si="86"/>
        <v>1898.6</v>
      </c>
      <c r="R432" s="256">
        <f t="shared" si="87"/>
        <v>10528.6</v>
      </c>
      <c r="S432" s="296"/>
      <c r="T432" s="3">
        <v>23</v>
      </c>
      <c r="U432" s="294"/>
    </row>
    <row r="433" spans="1:21" ht="39.75" customHeight="1" x14ac:dyDescent="0.35">
      <c r="A433" s="218" t="s">
        <v>2713</v>
      </c>
      <c r="B433" s="3">
        <v>407</v>
      </c>
      <c r="C433" s="68">
        <v>10116985</v>
      </c>
      <c r="D433" s="24" t="s">
        <v>1080</v>
      </c>
      <c r="E433" s="18" t="s">
        <v>2237</v>
      </c>
      <c r="F433" s="91">
        <v>251</v>
      </c>
      <c r="G433" s="3" t="s">
        <v>0</v>
      </c>
      <c r="H433" s="54" t="s">
        <v>522</v>
      </c>
      <c r="I433" s="4" t="s">
        <v>989</v>
      </c>
      <c r="J433" s="4" t="s">
        <v>1962</v>
      </c>
      <c r="K433" s="23" t="s">
        <v>1244</v>
      </c>
      <c r="L433" s="6" t="s">
        <v>871</v>
      </c>
      <c r="M433" s="81">
        <f t="shared" si="88"/>
        <v>4445.68</v>
      </c>
      <c r="N433" s="81">
        <f t="shared" si="85"/>
        <v>17.71</v>
      </c>
      <c r="O433" s="81">
        <v>4445.68</v>
      </c>
      <c r="P433" s="72">
        <v>2270</v>
      </c>
      <c r="Q433" s="256">
        <f t="shared" si="86"/>
        <v>499.4</v>
      </c>
      <c r="R433" s="256">
        <f t="shared" si="87"/>
        <v>2769.4</v>
      </c>
      <c r="S433" s="296"/>
      <c r="T433" s="3">
        <v>23</v>
      </c>
      <c r="U433" s="294"/>
    </row>
    <row r="434" spans="1:21" ht="39.75" customHeight="1" x14ac:dyDescent="0.35">
      <c r="A434" s="218" t="s">
        <v>2714</v>
      </c>
      <c r="B434" s="3">
        <v>408</v>
      </c>
      <c r="C434" s="68">
        <v>10102693</v>
      </c>
      <c r="D434" s="24" t="s">
        <v>1081</v>
      </c>
      <c r="E434" s="18" t="s">
        <v>2237</v>
      </c>
      <c r="F434" s="91">
        <v>283</v>
      </c>
      <c r="G434" s="3" t="s">
        <v>0</v>
      </c>
      <c r="H434" s="54" t="s">
        <v>523</v>
      </c>
      <c r="I434" s="4" t="s">
        <v>989</v>
      </c>
      <c r="J434" s="4" t="s">
        <v>1962</v>
      </c>
      <c r="K434" s="23" t="s">
        <v>1245</v>
      </c>
      <c r="L434" s="6" t="s">
        <v>871</v>
      </c>
      <c r="M434" s="81">
        <f t="shared" si="88"/>
        <v>316.58</v>
      </c>
      <c r="N434" s="81">
        <f t="shared" si="85"/>
        <v>1.1200000000000001</v>
      </c>
      <c r="O434" s="81">
        <v>316.58</v>
      </c>
      <c r="P434" s="72">
        <v>160</v>
      </c>
      <c r="Q434" s="256">
        <f t="shared" si="86"/>
        <v>35.200000000000003</v>
      </c>
      <c r="R434" s="256">
        <f t="shared" si="87"/>
        <v>195.2</v>
      </c>
      <c r="S434" s="296"/>
      <c r="T434" s="3">
        <v>23</v>
      </c>
      <c r="U434" s="294"/>
    </row>
    <row r="435" spans="1:21" ht="39.75" customHeight="1" x14ac:dyDescent="0.35">
      <c r="A435" s="218" t="s">
        <v>2715</v>
      </c>
      <c r="B435" s="3">
        <v>409</v>
      </c>
      <c r="C435" s="68">
        <v>10111000</v>
      </c>
      <c r="D435" s="24" t="s">
        <v>1082</v>
      </c>
      <c r="E435" s="18" t="s">
        <v>2237</v>
      </c>
      <c r="F435" s="91">
        <v>165</v>
      </c>
      <c r="G435" s="3" t="s">
        <v>0</v>
      </c>
      <c r="H435" s="54" t="s">
        <v>523</v>
      </c>
      <c r="I435" s="4" t="s">
        <v>989</v>
      </c>
      <c r="J435" s="4" t="s">
        <v>1962</v>
      </c>
      <c r="K435" s="23" t="s">
        <v>1246</v>
      </c>
      <c r="L435" s="6" t="s">
        <v>871</v>
      </c>
      <c r="M435" s="81">
        <f t="shared" si="88"/>
        <v>153.16999999999999</v>
      </c>
      <c r="N435" s="81">
        <f t="shared" si="85"/>
        <v>0.93</v>
      </c>
      <c r="O435" s="81">
        <v>153.16999999999999</v>
      </c>
      <c r="P435" s="72">
        <v>80</v>
      </c>
      <c r="Q435" s="256">
        <f t="shared" si="86"/>
        <v>17.600000000000001</v>
      </c>
      <c r="R435" s="256">
        <f t="shared" si="87"/>
        <v>97.6</v>
      </c>
      <c r="S435" s="296"/>
      <c r="T435" s="3">
        <v>23</v>
      </c>
      <c r="U435" s="294"/>
    </row>
    <row r="436" spans="1:21" ht="39.75" customHeight="1" x14ac:dyDescent="0.35">
      <c r="A436" s="218" t="s">
        <v>2716</v>
      </c>
      <c r="B436" s="3">
        <v>410</v>
      </c>
      <c r="C436" s="68">
        <v>10124447</v>
      </c>
      <c r="D436" s="24" t="s">
        <v>494</v>
      </c>
      <c r="E436" s="18" t="s">
        <v>2237</v>
      </c>
      <c r="F436" s="91">
        <v>11</v>
      </c>
      <c r="G436" s="3" t="s">
        <v>0</v>
      </c>
      <c r="H436" s="54" t="s">
        <v>522</v>
      </c>
      <c r="I436" s="4" t="s">
        <v>989</v>
      </c>
      <c r="J436" s="25" t="s">
        <v>2285</v>
      </c>
      <c r="K436" s="23" t="s">
        <v>494</v>
      </c>
      <c r="L436" s="6" t="s">
        <v>871</v>
      </c>
      <c r="M436" s="81">
        <f t="shared" si="88"/>
        <v>72858.070000000007</v>
      </c>
      <c r="N436" s="81">
        <f t="shared" si="85"/>
        <v>6623.46</v>
      </c>
      <c r="O436" s="81">
        <v>72858.070000000007</v>
      </c>
      <c r="P436" s="72">
        <v>37240</v>
      </c>
      <c r="Q436" s="256">
        <f t="shared" si="86"/>
        <v>8192.7999999999993</v>
      </c>
      <c r="R436" s="256">
        <f t="shared" si="87"/>
        <v>45432.800000000003</v>
      </c>
      <c r="S436" s="296"/>
      <c r="T436" s="3">
        <v>23</v>
      </c>
      <c r="U436" s="294"/>
    </row>
    <row r="437" spans="1:21" ht="39.75" customHeight="1" x14ac:dyDescent="0.35">
      <c r="A437" s="218" t="s">
        <v>2717</v>
      </c>
      <c r="B437" s="3">
        <v>411</v>
      </c>
      <c r="C437" s="68">
        <v>10123357</v>
      </c>
      <c r="D437" s="24" t="s">
        <v>1087</v>
      </c>
      <c r="E437" s="18" t="s">
        <v>2237</v>
      </c>
      <c r="F437" s="91">
        <v>150</v>
      </c>
      <c r="G437" s="3" t="s">
        <v>0</v>
      </c>
      <c r="H437" s="54" t="s">
        <v>523</v>
      </c>
      <c r="I437" s="4" t="s">
        <v>989</v>
      </c>
      <c r="J437" s="4" t="s">
        <v>1962</v>
      </c>
      <c r="K437" s="23" t="s">
        <v>1247</v>
      </c>
      <c r="L437" s="6" t="s">
        <v>871</v>
      </c>
      <c r="M437" s="81">
        <f t="shared" si="88"/>
        <v>3050.84</v>
      </c>
      <c r="N437" s="81">
        <f t="shared" si="85"/>
        <v>20.34</v>
      </c>
      <c r="O437" s="81">
        <v>3050.84</v>
      </c>
      <c r="P437" s="72">
        <v>1590</v>
      </c>
      <c r="Q437" s="256">
        <f t="shared" si="86"/>
        <v>349.8</v>
      </c>
      <c r="R437" s="256">
        <f t="shared" si="87"/>
        <v>1939.8</v>
      </c>
      <c r="S437" s="296"/>
      <c r="T437" s="3">
        <v>23</v>
      </c>
      <c r="U437" s="294"/>
    </row>
    <row r="438" spans="1:21" ht="29.25" customHeight="1" x14ac:dyDescent="0.35">
      <c r="A438" s="218" t="s">
        <v>2718</v>
      </c>
      <c r="B438" s="3">
        <v>412</v>
      </c>
      <c r="C438" s="68">
        <v>10120430</v>
      </c>
      <c r="D438" s="24" t="s">
        <v>1088</v>
      </c>
      <c r="E438" s="18" t="s">
        <v>2237</v>
      </c>
      <c r="F438" s="91">
        <v>198</v>
      </c>
      <c r="G438" s="3" t="s">
        <v>0</v>
      </c>
      <c r="H438" s="54" t="s">
        <v>523</v>
      </c>
      <c r="I438" s="4" t="s">
        <v>989</v>
      </c>
      <c r="J438" s="4" t="s">
        <v>1962</v>
      </c>
      <c r="K438" s="23" t="s">
        <v>1248</v>
      </c>
      <c r="L438" s="6" t="s">
        <v>871</v>
      </c>
      <c r="M438" s="80">
        <f t="shared" si="88"/>
        <v>32804.22</v>
      </c>
      <c r="N438" s="102">
        <f t="shared" si="85"/>
        <v>165.68</v>
      </c>
      <c r="O438" s="81">
        <v>32804.22</v>
      </c>
      <c r="P438" s="72">
        <v>17080</v>
      </c>
      <c r="Q438" s="256">
        <f t="shared" si="86"/>
        <v>3757.6</v>
      </c>
      <c r="R438" s="256">
        <f t="shared" si="87"/>
        <v>20837.599999999999</v>
      </c>
      <c r="S438" s="296"/>
      <c r="T438" s="3">
        <v>23</v>
      </c>
      <c r="U438" s="294"/>
    </row>
    <row r="439" spans="1:21" ht="39.75" customHeight="1" x14ac:dyDescent="0.35">
      <c r="A439" s="218" t="s">
        <v>2719</v>
      </c>
      <c r="B439" s="3">
        <v>413</v>
      </c>
      <c r="C439" s="68">
        <v>10102588</v>
      </c>
      <c r="D439" s="24" t="s">
        <v>1089</v>
      </c>
      <c r="E439" s="18" t="s">
        <v>2237</v>
      </c>
      <c r="F439" s="91">
        <v>58</v>
      </c>
      <c r="G439" s="3" t="s">
        <v>0</v>
      </c>
      <c r="H439" s="54" t="s">
        <v>523</v>
      </c>
      <c r="I439" s="4" t="s">
        <v>989</v>
      </c>
      <c r="J439" s="4" t="s">
        <v>1962</v>
      </c>
      <c r="K439" s="23" t="s">
        <v>1249</v>
      </c>
      <c r="L439" s="6" t="s">
        <v>871</v>
      </c>
      <c r="M439" s="80">
        <f t="shared" si="88"/>
        <v>21682.880000000001</v>
      </c>
      <c r="N439" s="80">
        <f t="shared" si="85"/>
        <v>373.84</v>
      </c>
      <c r="O439" s="81">
        <v>21682.880000000001</v>
      </c>
      <c r="P439" s="72">
        <v>11290</v>
      </c>
      <c r="Q439" s="256">
        <f t="shared" si="86"/>
        <v>2483.8000000000002</v>
      </c>
      <c r="R439" s="256">
        <f t="shared" si="87"/>
        <v>13773.8</v>
      </c>
      <c r="S439" s="296"/>
      <c r="T439" s="3">
        <v>23</v>
      </c>
      <c r="U439" s="294"/>
    </row>
    <row r="440" spans="1:21" ht="39.75" customHeight="1" x14ac:dyDescent="0.35">
      <c r="A440" s="218" t="s">
        <v>2720</v>
      </c>
      <c r="B440" s="3">
        <v>414</v>
      </c>
      <c r="C440" s="68">
        <v>10120327</v>
      </c>
      <c r="D440" s="24" t="s">
        <v>1090</v>
      </c>
      <c r="E440" s="18" t="s">
        <v>2237</v>
      </c>
      <c r="F440" s="91">
        <v>82</v>
      </c>
      <c r="G440" s="3" t="s">
        <v>0</v>
      </c>
      <c r="H440" s="54" t="s">
        <v>523</v>
      </c>
      <c r="I440" s="4" t="s">
        <v>989</v>
      </c>
      <c r="J440" s="4" t="s">
        <v>1962</v>
      </c>
      <c r="K440" s="23" t="s">
        <v>1250</v>
      </c>
      <c r="L440" s="6" t="s">
        <v>871</v>
      </c>
      <c r="M440" s="81">
        <f t="shared" si="88"/>
        <v>20485.400000000001</v>
      </c>
      <c r="N440" s="81">
        <f t="shared" si="85"/>
        <v>249.82</v>
      </c>
      <c r="O440" s="81">
        <v>20485.400000000001</v>
      </c>
      <c r="P440" s="72">
        <v>10670</v>
      </c>
      <c r="Q440" s="256">
        <f t="shared" si="86"/>
        <v>2347.4</v>
      </c>
      <c r="R440" s="256">
        <f t="shared" si="87"/>
        <v>13017.4</v>
      </c>
      <c r="S440" s="296"/>
      <c r="T440" s="3">
        <v>23</v>
      </c>
      <c r="U440" s="294"/>
    </row>
    <row r="441" spans="1:21" ht="39.75" customHeight="1" x14ac:dyDescent="0.35">
      <c r="A441" s="218" t="s">
        <v>2721</v>
      </c>
      <c r="B441" s="3">
        <v>415</v>
      </c>
      <c r="C441" s="68">
        <v>10116578</v>
      </c>
      <c r="D441" s="24" t="s">
        <v>1091</v>
      </c>
      <c r="E441" s="18" t="s">
        <v>2237</v>
      </c>
      <c r="F441" s="91">
        <v>422</v>
      </c>
      <c r="G441" s="3" t="s">
        <v>0</v>
      </c>
      <c r="H441" s="54" t="s">
        <v>522</v>
      </c>
      <c r="I441" s="4" t="s">
        <v>989</v>
      </c>
      <c r="J441" s="4" t="s">
        <v>1962</v>
      </c>
      <c r="K441" s="23" t="s">
        <v>1251</v>
      </c>
      <c r="L441" s="6" t="s">
        <v>871</v>
      </c>
      <c r="M441" s="81">
        <f t="shared" si="88"/>
        <v>47120.97</v>
      </c>
      <c r="N441" s="81">
        <f t="shared" si="85"/>
        <v>111.66</v>
      </c>
      <c r="O441" s="81">
        <v>47120.97</v>
      </c>
      <c r="P441" s="72">
        <v>24080</v>
      </c>
      <c r="Q441" s="256">
        <f t="shared" si="86"/>
        <v>5297.6</v>
      </c>
      <c r="R441" s="256">
        <f t="shared" si="87"/>
        <v>29377.599999999999</v>
      </c>
      <c r="S441" s="296"/>
      <c r="T441" s="3">
        <v>23</v>
      </c>
      <c r="U441" s="294"/>
    </row>
    <row r="442" spans="1:21" ht="39.75" customHeight="1" x14ac:dyDescent="0.35">
      <c r="A442" s="218" t="s">
        <v>2722</v>
      </c>
      <c r="B442" s="3">
        <v>416</v>
      </c>
      <c r="C442" s="68">
        <v>10019183</v>
      </c>
      <c r="D442" s="24" t="s">
        <v>1092</v>
      </c>
      <c r="E442" s="18" t="s">
        <v>2237</v>
      </c>
      <c r="F442" s="91">
        <v>143</v>
      </c>
      <c r="G442" s="3" t="s">
        <v>0</v>
      </c>
      <c r="H442" s="54" t="s">
        <v>518</v>
      </c>
      <c r="I442" s="4" t="s">
        <v>989</v>
      </c>
      <c r="J442" s="4" t="s">
        <v>1962</v>
      </c>
      <c r="K442" s="23" t="s">
        <v>1252</v>
      </c>
      <c r="L442" s="6" t="s">
        <v>871</v>
      </c>
      <c r="M442" s="81">
        <f t="shared" si="88"/>
        <v>13558.36</v>
      </c>
      <c r="N442" s="81">
        <f t="shared" si="85"/>
        <v>94.81</v>
      </c>
      <c r="O442" s="81">
        <v>13558.36</v>
      </c>
      <c r="P442" s="72">
        <v>7570</v>
      </c>
      <c r="Q442" s="256">
        <f t="shared" si="86"/>
        <v>1665.4</v>
      </c>
      <c r="R442" s="256">
        <f t="shared" si="87"/>
        <v>9235.4</v>
      </c>
      <c r="S442" s="296"/>
      <c r="T442" s="3">
        <v>23</v>
      </c>
      <c r="U442" s="294"/>
    </row>
    <row r="443" spans="1:21" ht="39.75" customHeight="1" x14ac:dyDescent="0.35">
      <c r="A443" s="218" t="s">
        <v>2723</v>
      </c>
      <c r="B443" s="3">
        <v>417</v>
      </c>
      <c r="C443" s="68">
        <v>10019184</v>
      </c>
      <c r="D443" s="24" t="s">
        <v>1093</v>
      </c>
      <c r="E443" s="18" t="s">
        <v>2237</v>
      </c>
      <c r="F443" s="91">
        <v>89</v>
      </c>
      <c r="G443" s="3" t="s">
        <v>0</v>
      </c>
      <c r="H443" s="54" t="s">
        <v>518</v>
      </c>
      <c r="I443" s="4" t="s">
        <v>989</v>
      </c>
      <c r="J443" s="4" t="s">
        <v>1962</v>
      </c>
      <c r="K443" s="23" t="s">
        <v>1253</v>
      </c>
      <c r="L443" s="6" t="s">
        <v>871</v>
      </c>
      <c r="M443" s="81">
        <f t="shared" si="88"/>
        <v>5857.39</v>
      </c>
      <c r="N443" s="81">
        <f t="shared" si="85"/>
        <v>65.81</v>
      </c>
      <c r="O443" s="81">
        <v>5857.39</v>
      </c>
      <c r="P443" s="72">
        <v>3270</v>
      </c>
      <c r="Q443" s="256">
        <f t="shared" si="86"/>
        <v>719.4</v>
      </c>
      <c r="R443" s="256">
        <f t="shared" si="87"/>
        <v>3989.4</v>
      </c>
      <c r="S443" s="296"/>
      <c r="T443" s="3">
        <v>23</v>
      </c>
      <c r="U443" s="294"/>
    </row>
    <row r="444" spans="1:21" ht="39.75" customHeight="1" x14ac:dyDescent="0.35">
      <c r="A444" s="218" t="s">
        <v>2724</v>
      </c>
      <c r="B444" s="3">
        <v>418</v>
      </c>
      <c r="C444" s="68">
        <v>10019207</v>
      </c>
      <c r="D444" s="24" t="s">
        <v>1094</v>
      </c>
      <c r="E444" s="18" t="s">
        <v>2237</v>
      </c>
      <c r="F444" s="91">
        <v>127</v>
      </c>
      <c r="G444" s="3" t="s">
        <v>0</v>
      </c>
      <c r="H444" s="54" t="s">
        <v>523</v>
      </c>
      <c r="I444" s="4" t="s">
        <v>989</v>
      </c>
      <c r="J444" s="4" t="s">
        <v>1962</v>
      </c>
      <c r="K444" s="23" t="s">
        <v>1254</v>
      </c>
      <c r="L444" s="6" t="s">
        <v>871</v>
      </c>
      <c r="M444" s="81">
        <f t="shared" si="88"/>
        <v>20353.36</v>
      </c>
      <c r="N444" s="81">
        <f t="shared" si="85"/>
        <v>160.26</v>
      </c>
      <c r="O444" s="81">
        <v>20353.36</v>
      </c>
      <c r="P444" s="72">
        <v>10600</v>
      </c>
      <c r="Q444" s="256">
        <f t="shared" si="86"/>
        <v>2332</v>
      </c>
      <c r="R444" s="256">
        <f t="shared" si="87"/>
        <v>12932</v>
      </c>
      <c r="S444" s="296"/>
      <c r="T444" s="3">
        <v>23</v>
      </c>
      <c r="U444" s="294"/>
    </row>
    <row r="445" spans="1:21" ht="39.75" customHeight="1" x14ac:dyDescent="0.35">
      <c r="A445" s="218" t="s">
        <v>2725</v>
      </c>
      <c r="B445" s="3">
        <v>419</v>
      </c>
      <c r="C445" s="68">
        <v>10100574</v>
      </c>
      <c r="D445" s="24" t="s">
        <v>1095</v>
      </c>
      <c r="E445" s="18" t="s">
        <v>2237</v>
      </c>
      <c r="F445" s="91">
        <v>88</v>
      </c>
      <c r="G445" s="3" t="s">
        <v>0</v>
      </c>
      <c r="H445" s="54" t="s">
        <v>523</v>
      </c>
      <c r="I445" s="4" t="s">
        <v>989</v>
      </c>
      <c r="J445" s="4" t="s">
        <v>1962</v>
      </c>
      <c r="K445" s="23" t="s">
        <v>1255</v>
      </c>
      <c r="L445" s="6" t="s">
        <v>871</v>
      </c>
      <c r="M445" s="81">
        <f t="shared" si="88"/>
        <v>3044.07</v>
      </c>
      <c r="N445" s="81">
        <f t="shared" si="85"/>
        <v>34.590000000000003</v>
      </c>
      <c r="O445" s="81">
        <v>3044.07</v>
      </c>
      <c r="P445" s="72">
        <v>1590</v>
      </c>
      <c r="Q445" s="256">
        <f t="shared" si="86"/>
        <v>349.8</v>
      </c>
      <c r="R445" s="256">
        <f t="shared" si="87"/>
        <v>1939.8</v>
      </c>
      <c r="S445" s="296"/>
      <c r="T445" s="3">
        <v>23</v>
      </c>
      <c r="U445" s="294"/>
    </row>
    <row r="446" spans="1:21" ht="39.75" customHeight="1" x14ac:dyDescent="0.35">
      <c r="A446" s="218" t="s">
        <v>2726</v>
      </c>
      <c r="B446" s="3">
        <v>420</v>
      </c>
      <c r="C446" s="68">
        <v>10101667</v>
      </c>
      <c r="D446" s="24" t="s">
        <v>1096</v>
      </c>
      <c r="E446" s="18" t="s">
        <v>2237</v>
      </c>
      <c r="F446" s="91">
        <v>459</v>
      </c>
      <c r="G446" s="3" t="s">
        <v>0</v>
      </c>
      <c r="H446" s="54" t="s">
        <v>523</v>
      </c>
      <c r="I446" s="4" t="s">
        <v>989</v>
      </c>
      <c r="J446" s="4" t="s">
        <v>1962</v>
      </c>
      <c r="K446" s="23" t="s">
        <v>1256</v>
      </c>
      <c r="L446" s="6" t="s">
        <v>871</v>
      </c>
      <c r="M446" s="81">
        <f t="shared" si="88"/>
        <v>135552.85999999999</v>
      </c>
      <c r="N446" s="81">
        <f t="shared" si="85"/>
        <v>295.32</v>
      </c>
      <c r="O446" s="81">
        <v>135552.85999999999</v>
      </c>
      <c r="P446" s="72">
        <v>70600</v>
      </c>
      <c r="Q446" s="256">
        <f t="shared" si="86"/>
        <v>15532</v>
      </c>
      <c r="R446" s="256">
        <f t="shared" si="87"/>
        <v>86132</v>
      </c>
      <c r="S446" s="296"/>
      <c r="T446" s="3">
        <v>23</v>
      </c>
      <c r="U446" s="294"/>
    </row>
    <row r="447" spans="1:21" ht="39.75" customHeight="1" x14ac:dyDescent="0.35">
      <c r="A447" s="218" t="s">
        <v>2727</v>
      </c>
      <c r="B447" s="3">
        <v>421</v>
      </c>
      <c r="C447" s="68">
        <v>10101508</v>
      </c>
      <c r="D447" s="24" t="s">
        <v>1097</v>
      </c>
      <c r="E447" s="18" t="s">
        <v>2237</v>
      </c>
      <c r="F447" s="91">
        <v>156</v>
      </c>
      <c r="G447" s="3" t="s">
        <v>0</v>
      </c>
      <c r="H447" s="54" t="s">
        <v>523</v>
      </c>
      <c r="I447" s="4" t="s">
        <v>989</v>
      </c>
      <c r="J447" s="4" t="s">
        <v>1962</v>
      </c>
      <c r="K447" s="23" t="s">
        <v>1257</v>
      </c>
      <c r="L447" s="6" t="s">
        <v>871</v>
      </c>
      <c r="M447" s="81">
        <f t="shared" si="88"/>
        <v>939.6</v>
      </c>
      <c r="N447" s="81">
        <f t="shared" si="85"/>
        <v>6.02</v>
      </c>
      <c r="O447" s="81">
        <v>939.6</v>
      </c>
      <c r="P447" s="72">
        <v>490</v>
      </c>
      <c r="Q447" s="256">
        <f t="shared" si="86"/>
        <v>107.8</v>
      </c>
      <c r="R447" s="256">
        <f t="shared" si="87"/>
        <v>597.79999999999995</v>
      </c>
      <c r="S447" s="296"/>
      <c r="T447" s="3">
        <v>23</v>
      </c>
      <c r="U447" s="294"/>
    </row>
    <row r="448" spans="1:21" ht="39.75" customHeight="1" x14ac:dyDescent="0.35">
      <c r="A448" s="218" t="s">
        <v>2728</v>
      </c>
      <c r="B448" s="3">
        <v>422</v>
      </c>
      <c r="C448" s="68">
        <v>10121241</v>
      </c>
      <c r="D448" s="24" t="s">
        <v>1098</v>
      </c>
      <c r="E448" s="18" t="s">
        <v>2237</v>
      </c>
      <c r="F448" s="91">
        <v>81</v>
      </c>
      <c r="G448" s="3" t="s">
        <v>0</v>
      </c>
      <c r="H448" s="54" t="s">
        <v>523</v>
      </c>
      <c r="I448" s="4" t="s">
        <v>989</v>
      </c>
      <c r="J448" s="4" t="s">
        <v>1962</v>
      </c>
      <c r="K448" s="23" t="s">
        <v>1258</v>
      </c>
      <c r="L448" s="6" t="s">
        <v>871</v>
      </c>
      <c r="M448" s="81">
        <f t="shared" si="88"/>
        <v>18330.71</v>
      </c>
      <c r="N448" s="81">
        <f t="shared" ref="N448:N475" si="89">O448/F448</f>
        <v>226.31</v>
      </c>
      <c r="O448" s="81">
        <v>18330.71</v>
      </c>
      <c r="P448" s="72">
        <v>9550</v>
      </c>
      <c r="Q448" s="256">
        <f t="shared" si="86"/>
        <v>2101</v>
      </c>
      <c r="R448" s="256">
        <f t="shared" si="87"/>
        <v>11651</v>
      </c>
      <c r="S448" s="296"/>
      <c r="T448" s="3">
        <v>23</v>
      </c>
      <c r="U448" s="294"/>
    </row>
    <row r="449" spans="1:21" ht="39.75" customHeight="1" x14ac:dyDescent="0.35">
      <c r="A449" s="218" t="s">
        <v>2729</v>
      </c>
      <c r="B449" s="3">
        <v>423</v>
      </c>
      <c r="C449" s="68">
        <v>10019185</v>
      </c>
      <c r="D449" s="24" t="s">
        <v>1099</v>
      </c>
      <c r="E449" s="18" t="s">
        <v>2237</v>
      </c>
      <c r="F449" s="91">
        <v>86</v>
      </c>
      <c r="G449" s="3" t="s">
        <v>0</v>
      </c>
      <c r="H449" s="54" t="s">
        <v>518</v>
      </c>
      <c r="I449" s="4" t="s">
        <v>989</v>
      </c>
      <c r="J449" s="4" t="s">
        <v>1962</v>
      </c>
      <c r="K449" s="23" t="s">
        <v>1259</v>
      </c>
      <c r="L449" s="6" t="s">
        <v>871</v>
      </c>
      <c r="M449" s="81">
        <f t="shared" si="88"/>
        <v>4893.97</v>
      </c>
      <c r="N449" s="81">
        <f t="shared" si="89"/>
        <v>56.91</v>
      </c>
      <c r="O449" s="81">
        <v>4893.97</v>
      </c>
      <c r="P449" s="72">
        <v>2730</v>
      </c>
      <c r="Q449" s="256">
        <f t="shared" ref="Q449:Q475" si="90">R449-P449</f>
        <v>600.6</v>
      </c>
      <c r="R449" s="256">
        <f t="shared" ref="R449:R475" si="91">P449*1.22</f>
        <v>3330.6</v>
      </c>
      <c r="S449" s="296"/>
      <c r="T449" s="3">
        <v>23</v>
      </c>
      <c r="U449" s="294"/>
    </row>
    <row r="450" spans="1:21" ht="39.75" customHeight="1" x14ac:dyDescent="0.35">
      <c r="A450" s="218" t="s">
        <v>2730</v>
      </c>
      <c r="B450" s="3">
        <v>424</v>
      </c>
      <c r="C450" s="68">
        <v>10101770</v>
      </c>
      <c r="D450" s="24" t="s">
        <v>1100</v>
      </c>
      <c r="E450" s="18" t="s">
        <v>2237</v>
      </c>
      <c r="F450" s="91">
        <v>90</v>
      </c>
      <c r="G450" s="3" t="s">
        <v>0</v>
      </c>
      <c r="H450" s="54" t="s">
        <v>523</v>
      </c>
      <c r="I450" s="4" t="s">
        <v>989</v>
      </c>
      <c r="J450" s="4" t="s">
        <v>1962</v>
      </c>
      <c r="K450" s="23" t="s">
        <v>1260</v>
      </c>
      <c r="L450" s="6" t="s">
        <v>871</v>
      </c>
      <c r="M450" s="81">
        <f t="shared" si="88"/>
        <v>5292.46</v>
      </c>
      <c r="N450" s="81">
        <f t="shared" si="89"/>
        <v>58.81</v>
      </c>
      <c r="O450" s="81">
        <v>5292.46</v>
      </c>
      <c r="P450" s="72">
        <v>2760</v>
      </c>
      <c r="Q450" s="256">
        <f t="shared" si="90"/>
        <v>607.20000000000005</v>
      </c>
      <c r="R450" s="256">
        <f t="shared" si="91"/>
        <v>3367.2</v>
      </c>
      <c r="S450" s="296"/>
      <c r="T450" s="3">
        <v>23</v>
      </c>
      <c r="U450" s="294"/>
    </row>
    <row r="451" spans="1:21" ht="39.75" customHeight="1" x14ac:dyDescent="0.35">
      <c r="A451" s="218" t="s">
        <v>2731</v>
      </c>
      <c r="B451" s="3">
        <v>425</v>
      </c>
      <c r="C451" s="68">
        <v>10124465</v>
      </c>
      <c r="D451" s="24" t="s">
        <v>475</v>
      </c>
      <c r="E451" s="18" t="s">
        <v>2237</v>
      </c>
      <c r="F451" s="91">
        <v>5</v>
      </c>
      <c r="G451" s="3" t="s">
        <v>0</v>
      </c>
      <c r="H451" s="54" t="s">
        <v>523</v>
      </c>
      <c r="I451" s="4" t="s">
        <v>989</v>
      </c>
      <c r="J451" s="25" t="s">
        <v>2285</v>
      </c>
      <c r="K451" s="23" t="s">
        <v>475</v>
      </c>
      <c r="L451" s="6" t="s">
        <v>871</v>
      </c>
      <c r="M451" s="81">
        <f t="shared" si="88"/>
        <v>11207.35</v>
      </c>
      <c r="N451" s="81">
        <f t="shared" si="89"/>
        <v>2241.4699999999998</v>
      </c>
      <c r="O451" s="81">
        <v>11207.35</v>
      </c>
      <c r="P451" s="72">
        <v>5840</v>
      </c>
      <c r="Q451" s="256">
        <f t="shared" si="90"/>
        <v>1284.8</v>
      </c>
      <c r="R451" s="256">
        <f t="shared" si="91"/>
        <v>7124.8</v>
      </c>
      <c r="S451" s="296"/>
      <c r="T451" s="3">
        <v>23</v>
      </c>
      <c r="U451" s="294"/>
    </row>
    <row r="452" spans="1:21" ht="39.75" customHeight="1" x14ac:dyDescent="0.35">
      <c r="A452" s="218" t="s">
        <v>2732</v>
      </c>
      <c r="B452" s="3">
        <v>426</v>
      </c>
      <c r="C452" s="68">
        <v>10124535</v>
      </c>
      <c r="D452" s="24" t="s">
        <v>508</v>
      </c>
      <c r="E452" s="18" t="s">
        <v>2237</v>
      </c>
      <c r="F452" s="91">
        <v>34</v>
      </c>
      <c r="G452" s="3" t="s">
        <v>0</v>
      </c>
      <c r="H452" s="54" t="s">
        <v>523</v>
      </c>
      <c r="I452" s="4" t="s">
        <v>989</v>
      </c>
      <c r="J452" s="25" t="s">
        <v>2285</v>
      </c>
      <c r="K452" s="23" t="s">
        <v>508</v>
      </c>
      <c r="L452" s="6" t="s">
        <v>871</v>
      </c>
      <c r="M452" s="81">
        <f t="shared" si="88"/>
        <v>3316.02</v>
      </c>
      <c r="N452" s="81">
        <f t="shared" si="89"/>
        <v>97.53</v>
      </c>
      <c r="O452" s="81">
        <v>3316.02</v>
      </c>
      <c r="P452" s="72">
        <v>1730</v>
      </c>
      <c r="Q452" s="256">
        <f t="shared" si="90"/>
        <v>380.6</v>
      </c>
      <c r="R452" s="256">
        <f t="shared" si="91"/>
        <v>2110.6</v>
      </c>
      <c r="S452" s="296"/>
      <c r="T452" s="3">
        <v>23</v>
      </c>
      <c r="U452" s="294"/>
    </row>
    <row r="453" spans="1:21" ht="39.75" customHeight="1" x14ac:dyDescent="0.35">
      <c r="A453" s="218" t="s">
        <v>2733</v>
      </c>
      <c r="B453" s="3">
        <v>427</v>
      </c>
      <c r="C453" s="68">
        <v>10108983</v>
      </c>
      <c r="D453" s="24" t="s">
        <v>1102</v>
      </c>
      <c r="E453" s="18" t="s">
        <v>2237</v>
      </c>
      <c r="F453" s="91">
        <v>130</v>
      </c>
      <c r="G453" s="3" t="s">
        <v>0</v>
      </c>
      <c r="H453" s="54" t="s">
        <v>522</v>
      </c>
      <c r="I453" s="4" t="s">
        <v>989</v>
      </c>
      <c r="J453" s="4" t="s">
        <v>1962</v>
      </c>
      <c r="K453" s="23" t="s">
        <v>1102</v>
      </c>
      <c r="L453" s="6" t="s">
        <v>871</v>
      </c>
      <c r="M453" s="81">
        <f t="shared" si="88"/>
        <v>4283.38</v>
      </c>
      <c r="N453" s="81">
        <f t="shared" si="89"/>
        <v>32.950000000000003</v>
      </c>
      <c r="O453" s="81">
        <v>4283.38</v>
      </c>
      <c r="P453" s="72">
        <v>2190</v>
      </c>
      <c r="Q453" s="256">
        <f t="shared" si="90"/>
        <v>481.8</v>
      </c>
      <c r="R453" s="256">
        <f t="shared" si="91"/>
        <v>2671.8</v>
      </c>
      <c r="S453" s="296"/>
      <c r="T453" s="3">
        <v>23</v>
      </c>
      <c r="U453" s="294"/>
    </row>
    <row r="454" spans="1:21" ht="39.75" customHeight="1" x14ac:dyDescent="0.35">
      <c r="A454" s="218" t="s">
        <v>2734</v>
      </c>
      <c r="B454" s="3">
        <v>428</v>
      </c>
      <c r="C454" s="68">
        <v>10108527</v>
      </c>
      <c r="D454" s="24" t="s">
        <v>1103</v>
      </c>
      <c r="E454" s="18" t="s">
        <v>2237</v>
      </c>
      <c r="F454" s="91">
        <v>12</v>
      </c>
      <c r="G454" s="3" t="s">
        <v>0</v>
      </c>
      <c r="H454" s="54" t="s">
        <v>518</v>
      </c>
      <c r="I454" s="4" t="s">
        <v>989</v>
      </c>
      <c r="J454" s="4" t="s">
        <v>1962</v>
      </c>
      <c r="K454" s="23" t="s">
        <v>1103</v>
      </c>
      <c r="L454" s="6" t="s">
        <v>871</v>
      </c>
      <c r="M454" s="81">
        <f t="shared" si="88"/>
        <v>41640</v>
      </c>
      <c r="N454" s="81">
        <f t="shared" si="89"/>
        <v>3470</v>
      </c>
      <c r="O454" s="81">
        <v>41640</v>
      </c>
      <c r="P454" s="72">
        <v>23260</v>
      </c>
      <c r="Q454" s="256">
        <f t="shared" si="90"/>
        <v>5117.2</v>
      </c>
      <c r="R454" s="256">
        <f t="shared" si="91"/>
        <v>28377.200000000001</v>
      </c>
      <c r="S454" s="296"/>
      <c r="T454" s="3">
        <v>23</v>
      </c>
      <c r="U454" s="294"/>
    </row>
    <row r="455" spans="1:21" ht="39.75" customHeight="1" x14ac:dyDescent="0.35">
      <c r="A455" s="218" t="s">
        <v>2735</v>
      </c>
      <c r="B455" s="3">
        <v>429</v>
      </c>
      <c r="C455" s="68">
        <v>10152406</v>
      </c>
      <c r="D455" s="24" t="s">
        <v>487</v>
      </c>
      <c r="E455" s="18" t="s">
        <v>2237</v>
      </c>
      <c r="F455" s="91">
        <v>7</v>
      </c>
      <c r="G455" s="3" t="s">
        <v>0</v>
      </c>
      <c r="H455" s="54" t="s">
        <v>516</v>
      </c>
      <c r="I455" s="4" t="s">
        <v>989</v>
      </c>
      <c r="J455" s="4" t="s">
        <v>1962</v>
      </c>
      <c r="K455" s="23" t="s">
        <v>487</v>
      </c>
      <c r="L455" s="6" t="s">
        <v>871</v>
      </c>
      <c r="M455" s="81">
        <f t="shared" si="88"/>
        <v>22750</v>
      </c>
      <c r="N455" s="81">
        <f t="shared" si="89"/>
        <v>3250</v>
      </c>
      <c r="O455" s="81">
        <v>22750</v>
      </c>
      <c r="P455" s="72">
        <v>11660</v>
      </c>
      <c r="Q455" s="256">
        <f t="shared" si="90"/>
        <v>2565.1999999999998</v>
      </c>
      <c r="R455" s="256">
        <f t="shared" si="91"/>
        <v>14225.2</v>
      </c>
      <c r="S455" s="296"/>
      <c r="T455" s="3">
        <v>23</v>
      </c>
      <c r="U455" s="294"/>
    </row>
    <row r="456" spans="1:21" ht="39.75" customHeight="1" x14ac:dyDescent="0.35">
      <c r="A456" s="218" t="s">
        <v>2736</v>
      </c>
      <c r="B456" s="3">
        <v>430</v>
      </c>
      <c r="C456" s="68">
        <v>10152405</v>
      </c>
      <c r="D456" s="24" t="s">
        <v>490</v>
      </c>
      <c r="E456" s="18" t="s">
        <v>2237</v>
      </c>
      <c r="F456" s="91">
        <v>8</v>
      </c>
      <c r="G456" s="3" t="s">
        <v>0</v>
      </c>
      <c r="H456" s="54" t="s">
        <v>516</v>
      </c>
      <c r="I456" s="4" t="s">
        <v>989</v>
      </c>
      <c r="J456" s="4" t="s">
        <v>1962</v>
      </c>
      <c r="K456" s="23" t="s">
        <v>490</v>
      </c>
      <c r="L456" s="6" t="s">
        <v>871</v>
      </c>
      <c r="M456" s="81">
        <f t="shared" si="88"/>
        <v>27840</v>
      </c>
      <c r="N456" s="81">
        <f t="shared" si="89"/>
        <v>3480</v>
      </c>
      <c r="O456" s="81">
        <v>27840</v>
      </c>
      <c r="P456" s="72">
        <v>14270</v>
      </c>
      <c r="Q456" s="256">
        <f t="shared" si="90"/>
        <v>3139.4</v>
      </c>
      <c r="R456" s="256">
        <f t="shared" si="91"/>
        <v>17409.400000000001</v>
      </c>
      <c r="S456" s="296"/>
      <c r="T456" s="3">
        <v>23</v>
      </c>
      <c r="U456" s="294"/>
    </row>
    <row r="457" spans="1:21" ht="39.75" customHeight="1" x14ac:dyDescent="0.35">
      <c r="A457" s="218" t="s">
        <v>2737</v>
      </c>
      <c r="B457" s="3">
        <v>431</v>
      </c>
      <c r="C457" s="68">
        <v>10030884</v>
      </c>
      <c r="D457" s="24" t="s">
        <v>1104</v>
      </c>
      <c r="E457" s="18" t="s">
        <v>2237</v>
      </c>
      <c r="F457" s="91">
        <v>52</v>
      </c>
      <c r="G457" s="3" t="s">
        <v>0</v>
      </c>
      <c r="H457" s="54" t="s">
        <v>518</v>
      </c>
      <c r="I457" s="4" t="s">
        <v>989</v>
      </c>
      <c r="J457" s="4" t="s">
        <v>1962</v>
      </c>
      <c r="K457" s="23" t="s">
        <v>1104</v>
      </c>
      <c r="L457" s="6" t="s">
        <v>871</v>
      </c>
      <c r="M457" s="81">
        <f t="shared" si="88"/>
        <v>81120</v>
      </c>
      <c r="N457" s="81">
        <f t="shared" si="89"/>
        <v>1560</v>
      </c>
      <c r="O457" s="81">
        <v>81120</v>
      </c>
      <c r="P457" s="72">
        <v>45310</v>
      </c>
      <c r="Q457" s="256">
        <f t="shared" si="90"/>
        <v>9968.2000000000007</v>
      </c>
      <c r="R457" s="256">
        <f t="shared" si="91"/>
        <v>55278.2</v>
      </c>
      <c r="S457" s="296"/>
      <c r="T457" s="3">
        <v>23</v>
      </c>
      <c r="U457" s="294"/>
    </row>
    <row r="458" spans="1:21" ht="39.75" customHeight="1" x14ac:dyDescent="0.35">
      <c r="A458" s="218" t="s">
        <v>2738</v>
      </c>
      <c r="B458" s="3">
        <v>432</v>
      </c>
      <c r="C458" s="68">
        <v>10124540</v>
      </c>
      <c r="D458" s="24" t="s">
        <v>442</v>
      </c>
      <c r="E458" s="18" t="s">
        <v>2237</v>
      </c>
      <c r="F458" s="91">
        <v>2</v>
      </c>
      <c r="G458" s="3" t="s">
        <v>0</v>
      </c>
      <c r="H458" s="54" t="s">
        <v>523</v>
      </c>
      <c r="I458" s="4" t="s">
        <v>989</v>
      </c>
      <c r="J458" s="4" t="s">
        <v>1962</v>
      </c>
      <c r="K458" s="23" t="s">
        <v>442</v>
      </c>
      <c r="L458" s="6" t="s">
        <v>871</v>
      </c>
      <c r="M458" s="81">
        <f t="shared" si="88"/>
        <v>8527.7000000000007</v>
      </c>
      <c r="N458" s="81">
        <f t="shared" si="89"/>
        <v>4263.8500000000004</v>
      </c>
      <c r="O458" s="81">
        <v>8527.7000000000007</v>
      </c>
      <c r="P458" s="72">
        <v>4440</v>
      </c>
      <c r="Q458" s="256">
        <f t="shared" si="90"/>
        <v>976.8</v>
      </c>
      <c r="R458" s="256">
        <f t="shared" si="91"/>
        <v>5416.8</v>
      </c>
      <c r="S458" s="296"/>
      <c r="T458" s="3">
        <v>23</v>
      </c>
      <c r="U458" s="294"/>
    </row>
    <row r="459" spans="1:21" ht="39.75" customHeight="1" x14ac:dyDescent="0.35">
      <c r="A459" s="218" t="s">
        <v>2739</v>
      </c>
      <c r="B459" s="3">
        <v>433</v>
      </c>
      <c r="C459" s="68">
        <v>10108570</v>
      </c>
      <c r="D459" s="24" t="s">
        <v>1105</v>
      </c>
      <c r="E459" s="18" t="s">
        <v>2237</v>
      </c>
      <c r="F459" s="91">
        <v>4</v>
      </c>
      <c r="G459" s="3" t="s">
        <v>0</v>
      </c>
      <c r="H459" s="54" t="s">
        <v>518</v>
      </c>
      <c r="I459" s="4" t="s">
        <v>989</v>
      </c>
      <c r="J459" s="4" t="s">
        <v>1962</v>
      </c>
      <c r="K459" s="23" t="s">
        <v>1105</v>
      </c>
      <c r="L459" s="6" t="s">
        <v>871</v>
      </c>
      <c r="M459" s="81">
        <f t="shared" si="88"/>
        <v>2560</v>
      </c>
      <c r="N459" s="81">
        <f t="shared" si="89"/>
        <v>640</v>
      </c>
      <c r="O459" s="81">
        <v>2560</v>
      </c>
      <c r="P459" s="72">
        <v>1430</v>
      </c>
      <c r="Q459" s="256">
        <f t="shared" si="90"/>
        <v>314.60000000000002</v>
      </c>
      <c r="R459" s="256">
        <f t="shared" si="91"/>
        <v>1744.6</v>
      </c>
      <c r="S459" s="296"/>
      <c r="T459" s="3">
        <v>23</v>
      </c>
      <c r="U459" s="294"/>
    </row>
    <row r="460" spans="1:21" ht="39.75" customHeight="1" x14ac:dyDescent="0.35">
      <c r="A460" s="218" t="s">
        <v>2740</v>
      </c>
      <c r="B460" s="3">
        <v>434</v>
      </c>
      <c r="C460" s="68">
        <v>10110894</v>
      </c>
      <c r="D460" s="24" t="s">
        <v>1106</v>
      </c>
      <c r="E460" s="18" t="s">
        <v>2237</v>
      </c>
      <c r="F460" s="91">
        <v>119</v>
      </c>
      <c r="G460" s="3" t="s">
        <v>0</v>
      </c>
      <c r="H460" s="54" t="s">
        <v>523</v>
      </c>
      <c r="I460" s="4" t="s">
        <v>989</v>
      </c>
      <c r="J460" s="4" t="s">
        <v>1962</v>
      </c>
      <c r="K460" s="23" t="s">
        <v>1261</v>
      </c>
      <c r="L460" s="6" t="s">
        <v>871</v>
      </c>
      <c r="M460" s="81">
        <f t="shared" si="88"/>
        <v>106321.54</v>
      </c>
      <c r="N460" s="81">
        <f t="shared" si="89"/>
        <v>893.46</v>
      </c>
      <c r="O460" s="81">
        <v>106321.54</v>
      </c>
      <c r="P460" s="72">
        <v>55370</v>
      </c>
      <c r="Q460" s="256">
        <f t="shared" si="90"/>
        <v>12181.4</v>
      </c>
      <c r="R460" s="256">
        <f t="shared" si="91"/>
        <v>67551.399999999994</v>
      </c>
      <c r="S460" s="296"/>
      <c r="T460" s="3">
        <v>23</v>
      </c>
      <c r="U460" s="294"/>
    </row>
    <row r="461" spans="1:21" ht="39.75" customHeight="1" x14ac:dyDescent="0.35">
      <c r="A461" s="218" t="s">
        <v>2741</v>
      </c>
      <c r="B461" s="3">
        <v>435</v>
      </c>
      <c r="C461" s="68">
        <v>10105985</v>
      </c>
      <c r="D461" s="24" t="s">
        <v>1107</v>
      </c>
      <c r="E461" s="18" t="s">
        <v>2237</v>
      </c>
      <c r="F461" s="91">
        <v>776</v>
      </c>
      <c r="G461" s="3" t="s">
        <v>0</v>
      </c>
      <c r="H461" s="54" t="s">
        <v>523</v>
      </c>
      <c r="I461" s="4" t="s">
        <v>989</v>
      </c>
      <c r="J461" s="4" t="s">
        <v>1962</v>
      </c>
      <c r="K461" s="23" t="s">
        <v>1262</v>
      </c>
      <c r="L461" s="6" t="s">
        <v>871</v>
      </c>
      <c r="M461" s="81">
        <f t="shared" si="88"/>
        <v>739502</v>
      </c>
      <c r="N461" s="81">
        <f t="shared" si="89"/>
        <v>952.97</v>
      </c>
      <c r="O461" s="81">
        <v>739502</v>
      </c>
      <c r="P461" s="72">
        <v>385140</v>
      </c>
      <c r="Q461" s="256">
        <f t="shared" si="90"/>
        <v>84730.8</v>
      </c>
      <c r="R461" s="256">
        <f t="shared" si="91"/>
        <v>469870.8</v>
      </c>
      <c r="S461" s="296"/>
      <c r="T461" s="3">
        <v>23</v>
      </c>
      <c r="U461" s="294"/>
    </row>
    <row r="462" spans="1:21" ht="39.75" customHeight="1" x14ac:dyDescent="0.35">
      <c r="A462" s="218" t="s">
        <v>2742</v>
      </c>
      <c r="B462" s="3">
        <v>436</v>
      </c>
      <c r="C462" s="68">
        <v>10124459</v>
      </c>
      <c r="D462" s="24" t="s">
        <v>474</v>
      </c>
      <c r="E462" s="18" t="s">
        <v>2237</v>
      </c>
      <c r="F462" s="91">
        <v>5</v>
      </c>
      <c r="G462" s="3" t="s">
        <v>0</v>
      </c>
      <c r="H462" s="54" t="s">
        <v>522</v>
      </c>
      <c r="I462" s="4" t="s">
        <v>989</v>
      </c>
      <c r="J462" s="4" t="s">
        <v>1962</v>
      </c>
      <c r="K462" s="23" t="s">
        <v>474</v>
      </c>
      <c r="L462" s="6" t="s">
        <v>871</v>
      </c>
      <c r="M462" s="81">
        <f t="shared" si="88"/>
        <v>17322.349999999999</v>
      </c>
      <c r="N462" s="81">
        <f t="shared" si="89"/>
        <v>3464.47</v>
      </c>
      <c r="O462" s="81">
        <v>17322.349999999999</v>
      </c>
      <c r="P462" s="72">
        <v>8850</v>
      </c>
      <c r="Q462" s="256">
        <f t="shared" si="90"/>
        <v>1947</v>
      </c>
      <c r="R462" s="256">
        <f t="shared" si="91"/>
        <v>10797</v>
      </c>
      <c r="S462" s="296"/>
      <c r="T462" s="3">
        <v>23</v>
      </c>
      <c r="U462" s="294"/>
    </row>
    <row r="463" spans="1:21" ht="39.75" customHeight="1" x14ac:dyDescent="0.35">
      <c r="A463" s="218" t="s">
        <v>2743</v>
      </c>
      <c r="B463" s="3">
        <v>437</v>
      </c>
      <c r="C463" s="68">
        <v>10110512</v>
      </c>
      <c r="D463" s="24" t="s">
        <v>1108</v>
      </c>
      <c r="E463" s="18" t="s">
        <v>2237</v>
      </c>
      <c r="F463" s="91">
        <v>1</v>
      </c>
      <c r="G463" s="3" t="s">
        <v>0</v>
      </c>
      <c r="H463" s="54" t="s">
        <v>522</v>
      </c>
      <c r="I463" s="4" t="s">
        <v>989</v>
      </c>
      <c r="J463" s="4" t="s">
        <v>1962</v>
      </c>
      <c r="K463" s="23" t="s">
        <v>1108</v>
      </c>
      <c r="L463" s="6" t="s">
        <v>871</v>
      </c>
      <c r="M463" s="81">
        <f t="shared" si="88"/>
        <v>12870</v>
      </c>
      <c r="N463" s="81">
        <f t="shared" si="89"/>
        <v>12870</v>
      </c>
      <c r="O463" s="81">
        <v>12870</v>
      </c>
      <c r="P463" s="72">
        <v>6580</v>
      </c>
      <c r="Q463" s="256">
        <f t="shared" si="90"/>
        <v>1447.6</v>
      </c>
      <c r="R463" s="256">
        <f t="shared" si="91"/>
        <v>8027.6</v>
      </c>
      <c r="S463" s="296"/>
      <c r="T463" s="3">
        <v>23</v>
      </c>
      <c r="U463" s="294"/>
    </row>
    <row r="464" spans="1:21" ht="39.75" customHeight="1" x14ac:dyDescent="0.35">
      <c r="A464" s="218" t="s">
        <v>2744</v>
      </c>
      <c r="B464" s="3">
        <v>438</v>
      </c>
      <c r="C464" s="68">
        <v>10110920</v>
      </c>
      <c r="D464" s="24" t="s">
        <v>1109</v>
      </c>
      <c r="E464" s="18" t="s">
        <v>2237</v>
      </c>
      <c r="F464" s="91">
        <v>1684</v>
      </c>
      <c r="G464" s="3" t="s">
        <v>0</v>
      </c>
      <c r="H464" s="54" t="s">
        <v>523</v>
      </c>
      <c r="I464" s="4" t="s">
        <v>989</v>
      </c>
      <c r="J464" s="4" t="s">
        <v>1962</v>
      </c>
      <c r="K464" s="23" t="s">
        <v>1109</v>
      </c>
      <c r="L464" s="6" t="s">
        <v>871</v>
      </c>
      <c r="M464" s="81">
        <f t="shared" si="88"/>
        <v>1943759.27</v>
      </c>
      <c r="N464" s="81">
        <f t="shared" si="89"/>
        <v>1154.25</v>
      </c>
      <c r="O464" s="81">
        <v>1943759.27</v>
      </c>
      <c r="P464" s="72">
        <v>1012320</v>
      </c>
      <c r="Q464" s="256">
        <f t="shared" si="90"/>
        <v>222710.39999999999</v>
      </c>
      <c r="R464" s="256">
        <f t="shared" si="91"/>
        <v>1235030.3999999999</v>
      </c>
      <c r="S464" s="296"/>
      <c r="T464" s="3">
        <v>23</v>
      </c>
      <c r="U464" s="294"/>
    </row>
    <row r="465" spans="1:21" ht="39.75" customHeight="1" x14ac:dyDescent="0.35">
      <c r="A465" s="218" t="s">
        <v>2745</v>
      </c>
      <c r="B465" s="3">
        <v>439</v>
      </c>
      <c r="C465" s="68">
        <v>10125265</v>
      </c>
      <c r="D465" s="24" t="s">
        <v>498</v>
      </c>
      <c r="E465" s="18" t="s">
        <v>2237</v>
      </c>
      <c r="F465" s="91">
        <v>17</v>
      </c>
      <c r="G465" s="3" t="s">
        <v>0</v>
      </c>
      <c r="H465" s="54" t="s">
        <v>522</v>
      </c>
      <c r="I465" s="4" t="s">
        <v>989</v>
      </c>
      <c r="J465" s="25" t="s">
        <v>2285</v>
      </c>
      <c r="K465" s="23" t="s">
        <v>498</v>
      </c>
      <c r="L465" s="6" t="s">
        <v>871</v>
      </c>
      <c r="M465" s="81">
        <f t="shared" si="88"/>
        <v>21624</v>
      </c>
      <c r="N465" s="81">
        <f t="shared" si="89"/>
        <v>1272</v>
      </c>
      <c r="O465" s="81">
        <v>21624</v>
      </c>
      <c r="P465" s="72">
        <v>11050</v>
      </c>
      <c r="Q465" s="256">
        <f t="shared" si="90"/>
        <v>2431</v>
      </c>
      <c r="R465" s="256">
        <f t="shared" si="91"/>
        <v>13481</v>
      </c>
      <c r="S465" s="296"/>
      <c r="T465" s="3">
        <v>23</v>
      </c>
      <c r="U465" s="294"/>
    </row>
    <row r="466" spans="1:21" ht="39.75" customHeight="1" x14ac:dyDescent="0.35">
      <c r="A466" s="218" t="s">
        <v>2746</v>
      </c>
      <c r="B466" s="3">
        <v>440</v>
      </c>
      <c r="C466" s="68">
        <v>10120490</v>
      </c>
      <c r="D466" s="24" t="s">
        <v>1128</v>
      </c>
      <c r="E466" s="18" t="s">
        <v>2237</v>
      </c>
      <c r="F466" s="91">
        <v>20</v>
      </c>
      <c r="G466" s="3" t="s">
        <v>0</v>
      </c>
      <c r="H466" s="54" t="s">
        <v>523</v>
      </c>
      <c r="I466" s="4" t="s">
        <v>989</v>
      </c>
      <c r="J466" s="4" t="s">
        <v>1962</v>
      </c>
      <c r="K466" s="23" t="s">
        <v>1277</v>
      </c>
      <c r="L466" s="6" t="s">
        <v>871</v>
      </c>
      <c r="M466" s="81">
        <f t="shared" si="88"/>
        <v>10.17</v>
      </c>
      <c r="N466" s="81">
        <f t="shared" si="89"/>
        <v>0.51</v>
      </c>
      <c r="O466" s="81">
        <v>10.17</v>
      </c>
      <c r="P466" s="72">
        <v>10</v>
      </c>
      <c r="Q466" s="256">
        <f t="shared" si="90"/>
        <v>2.2000000000000002</v>
      </c>
      <c r="R466" s="256">
        <f t="shared" si="91"/>
        <v>12.2</v>
      </c>
      <c r="S466" s="296"/>
      <c r="T466" s="3">
        <v>23</v>
      </c>
      <c r="U466" s="294"/>
    </row>
    <row r="467" spans="1:21" ht="39.75" customHeight="1" x14ac:dyDescent="0.35">
      <c r="A467" s="218" t="s">
        <v>2747</v>
      </c>
      <c r="B467" s="3">
        <v>441</v>
      </c>
      <c r="C467" s="68">
        <v>10120500</v>
      </c>
      <c r="D467" s="24" t="s">
        <v>1129</v>
      </c>
      <c r="E467" s="18" t="s">
        <v>2237</v>
      </c>
      <c r="F467" s="91">
        <v>318</v>
      </c>
      <c r="G467" s="3" t="s">
        <v>0</v>
      </c>
      <c r="H467" s="54" t="s">
        <v>523</v>
      </c>
      <c r="I467" s="4" t="s">
        <v>989</v>
      </c>
      <c r="J467" s="4" t="s">
        <v>1962</v>
      </c>
      <c r="K467" s="23" t="s">
        <v>1278</v>
      </c>
      <c r="L467" s="6" t="s">
        <v>871</v>
      </c>
      <c r="M467" s="81">
        <f t="shared" si="88"/>
        <v>159</v>
      </c>
      <c r="N467" s="81">
        <f t="shared" si="89"/>
        <v>0.5</v>
      </c>
      <c r="O467" s="81">
        <v>159</v>
      </c>
      <c r="P467" s="72">
        <v>80</v>
      </c>
      <c r="Q467" s="256">
        <f t="shared" si="90"/>
        <v>17.600000000000001</v>
      </c>
      <c r="R467" s="256">
        <f t="shared" si="91"/>
        <v>97.6</v>
      </c>
      <c r="S467" s="296"/>
      <c r="T467" s="3">
        <v>23</v>
      </c>
      <c r="U467" s="294"/>
    </row>
    <row r="468" spans="1:21" ht="39.75" customHeight="1" x14ac:dyDescent="0.35">
      <c r="A468" s="218" t="s">
        <v>2748</v>
      </c>
      <c r="B468" s="3">
        <v>442</v>
      </c>
      <c r="C468" s="68">
        <v>10120482</v>
      </c>
      <c r="D468" s="24" t="s">
        <v>1130</v>
      </c>
      <c r="E468" s="18" t="s">
        <v>2237</v>
      </c>
      <c r="F468" s="91">
        <v>288</v>
      </c>
      <c r="G468" s="3" t="s">
        <v>0</v>
      </c>
      <c r="H468" s="54" t="s">
        <v>523</v>
      </c>
      <c r="I468" s="4" t="s">
        <v>989</v>
      </c>
      <c r="J468" s="4" t="s">
        <v>1962</v>
      </c>
      <c r="K468" s="23" t="s">
        <v>1279</v>
      </c>
      <c r="L468" s="6" t="s">
        <v>871</v>
      </c>
      <c r="M468" s="81">
        <f t="shared" si="88"/>
        <v>139.13</v>
      </c>
      <c r="N468" s="81">
        <f t="shared" si="89"/>
        <v>0.48</v>
      </c>
      <c r="O468" s="81">
        <v>139.13</v>
      </c>
      <c r="P468" s="72">
        <v>70</v>
      </c>
      <c r="Q468" s="256">
        <f t="shared" si="90"/>
        <v>15.4</v>
      </c>
      <c r="R468" s="256">
        <f t="shared" si="91"/>
        <v>85.4</v>
      </c>
      <c r="S468" s="296"/>
      <c r="T468" s="3">
        <v>23</v>
      </c>
      <c r="U468" s="294"/>
    </row>
    <row r="469" spans="1:21" ht="39.75" customHeight="1" x14ac:dyDescent="0.35">
      <c r="A469" s="218" t="s">
        <v>2749</v>
      </c>
      <c r="B469" s="3">
        <v>443</v>
      </c>
      <c r="C469" s="68">
        <v>10120483</v>
      </c>
      <c r="D469" s="24" t="s">
        <v>1131</v>
      </c>
      <c r="E469" s="18" t="s">
        <v>2237</v>
      </c>
      <c r="F469" s="91">
        <v>323</v>
      </c>
      <c r="G469" s="3" t="s">
        <v>0</v>
      </c>
      <c r="H469" s="54" t="s">
        <v>523</v>
      </c>
      <c r="I469" s="4" t="s">
        <v>989</v>
      </c>
      <c r="J469" s="4" t="s">
        <v>1962</v>
      </c>
      <c r="K469" s="23" t="s">
        <v>1280</v>
      </c>
      <c r="L469" s="6" t="s">
        <v>871</v>
      </c>
      <c r="M469" s="81">
        <f t="shared" si="88"/>
        <v>156.03</v>
      </c>
      <c r="N469" s="81">
        <f t="shared" si="89"/>
        <v>0.48</v>
      </c>
      <c r="O469" s="81">
        <v>156.03</v>
      </c>
      <c r="P469" s="72">
        <v>80</v>
      </c>
      <c r="Q469" s="256">
        <f t="shared" si="90"/>
        <v>17.600000000000001</v>
      </c>
      <c r="R469" s="256">
        <f t="shared" si="91"/>
        <v>97.6</v>
      </c>
      <c r="S469" s="296"/>
      <c r="T469" s="3">
        <v>23</v>
      </c>
      <c r="U469" s="294"/>
    </row>
    <row r="470" spans="1:21" ht="39.75" customHeight="1" x14ac:dyDescent="0.35">
      <c r="A470" s="218" t="s">
        <v>2750</v>
      </c>
      <c r="B470" s="3">
        <v>444</v>
      </c>
      <c r="C470" s="68">
        <v>10120480</v>
      </c>
      <c r="D470" s="24" t="s">
        <v>1132</v>
      </c>
      <c r="E470" s="18" t="s">
        <v>2237</v>
      </c>
      <c r="F470" s="91">
        <v>111</v>
      </c>
      <c r="G470" s="3" t="s">
        <v>0</v>
      </c>
      <c r="H470" s="54" t="s">
        <v>523</v>
      </c>
      <c r="I470" s="4" t="s">
        <v>989</v>
      </c>
      <c r="J470" s="4" t="s">
        <v>1962</v>
      </c>
      <c r="K470" s="23" t="s">
        <v>1281</v>
      </c>
      <c r="L470" s="6" t="s">
        <v>871</v>
      </c>
      <c r="M470" s="81">
        <f t="shared" si="88"/>
        <v>53.62</v>
      </c>
      <c r="N470" s="81">
        <f t="shared" si="89"/>
        <v>0.48</v>
      </c>
      <c r="O470" s="81">
        <v>53.62</v>
      </c>
      <c r="P470" s="72">
        <v>30</v>
      </c>
      <c r="Q470" s="256">
        <f t="shared" si="90"/>
        <v>6.6</v>
      </c>
      <c r="R470" s="256">
        <f t="shared" si="91"/>
        <v>36.6</v>
      </c>
      <c r="S470" s="296"/>
      <c r="T470" s="3">
        <v>23</v>
      </c>
      <c r="U470" s="294"/>
    </row>
    <row r="471" spans="1:21" ht="39.75" customHeight="1" x14ac:dyDescent="0.35">
      <c r="A471" s="218" t="s">
        <v>2751</v>
      </c>
      <c r="B471" s="3">
        <v>445</v>
      </c>
      <c r="C471" s="68">
        <v>10120407</v>
      </c>
      <c r="D471" s="24" t="s">
        <v>1133</v>
      </c>
      <c r="E471" s="18" t="s">
        <v>2237</v>
      </c>
      <c r="F471" s="91">
        <v>138</v>
      </c>
      <c r="G471" s="3" t="s">
        <v>0</v>
      </c>
      <c r="H471" s="54" t="s">
        <v>523</v>
      </c>
      <c r="I471" s="4" t="s">
        <v>989</v>
      </c>
      <c r="J471" s="4" t="s">
        <v>1962</v>
      </c>
      <c r="K471" s="23" t="s">
        <v>1282</v>
      </c>
      <c r="L471" s="6" t="s">
        <v>871</v>
      </c>
      <c r="M471" s="81">
        <f t="shared" si="88"/>
        <v>126.29</v>
      </c>
      <c r="N471" s="81">
        <f t="shared" si="89"/>
        <v>0.92</v>
      </c>
      <c r="O471" s="81">
        <v>126.29</v>
      </c>
      <c r="P471" s="72">
        <v>70</v>
      </c>
      <c r="Q471" s="256">
        <f t="shared" si="90"/>
        <v>15.4</v>
      </c>
      <c r="R471" s="256">
        <f t="shared" si="91"/>
        <v>85.4</v>
      </c>
      <c r="S471" s="296"/>
      <c r="T471" s="3">
        <v>23</v>
      </c>
      <c r="U471" s="294"/>
    </row>
    <row r="472" spans="1:21" ht="30" customHeight="1" x14ac:dyDescent="0.35">
      <c r="A472" s="218" t="s">
        <v>2752</v>
      </c>
      <c r="B472" s="3">
        <v>446</v>
      </c>
      <c r="C472" s="45">
        <v>10107075</v>
      </c>
      <c r="D472" s="15" t="s">
        <v>1366</v>
      </c>
      <c r="E472" s="18" t="s">
        <v>1364</v>
      </c>
      <c r="F472" s="76">
        <f>22-6</f>
        <v>16</v>
      </c>
      <c r="G472" s="3" t="s">
        <v>0</v>
      </c>
      <c r="H472" s="3">
        <v>2014</v>
      </c>
      <c r="I472" s="16" t="s">
        <v>1362</v>
      </c>
      <c r="J472" s="4" t="s">
        <v>1962</v>
      </c>
      <c r="K472" s="14" t="s">
        <v>1368</v>
      </c>
      <c r="L472" s="6" t="s">
        <v>871</v>
      </c>
      <c r="M472" s="81">
        <f t="shared" si="88"/>
        <v>25200</v>
      </c>
      <c r="N472" s="81">
        <f t="shared" si="89"/>
        <v>1575</v>
      </c>
      <c r="O472" s="81">
        <f>34650/22*16</f>
        <v>25200</v>
      </c>
      <c r="P472" s="72">
        <v>12630</v>
      </c>
      <c r="Q472" s="256">
        <f t="shared" si="90"/>
        <v>2778.6</v>
      </c>
      <c r="R472" s="256">
        <f t="shared" si="91"/>
        <v>15408.6</v>
      </c>
      <c r="S472" s="296"/>
      <c r="T472" s="3">
        <v>23</v>
      </c>
      <c r="U472" s="294"/>
    </row>
    <row r="473" spans="1:21" ht="30" customHeight="1" x14ac:dyDescent="0.35">
      <c r="A473" s="218" t="s">
        <v>2753</v>
      </c>
      <c r="B473" s="3">
        <v>447</v>
      </c>
      <c r="C473" s="18">
        <v>10107220</v>
      </c>
      <c r="D473" s="18" t="s">
        <v>2169</v>
      </c>
      <c r="E473" s="18" t="s">
        <v>2197</v>
      </c>
      <c r="F473" s="12">
        <v>52</v>
      </c>
      <c r="G473" s="3" t="s">
        <v>0</v>
      </c>
      <c r="H473" s="3">
        <v>2006</v>
      </c>
      <c r="I473" s="13" t="s">
        <v>999</v>
      </c>
      <c r="J473" s="4" t="s">
        <v>1962</v>
      </c>
      <c r="K473" s="4" t="s">
        <v>988</v>
      </c>
      <c r="L473" s="5" t="s">
        <v>871</v>
      </c>
      <c r="M473" s="72">
        <f t="shared" si="88"/>
        <v>466555.44</v>
      </c>
      <c r="N473" s="72">
        <f t="shared" si="89"/>
        <v>8972.2199999999993</v>
      </c>
      <c r="O473" s="72">
        <v>466555.44</v>
      </c>
      <c r="P473" s="72">
        <v>352270</v>
      </c>
      <c r="Q473" s="256">
        <f t="shared" si="90"/>
        <v>77499.399999999994</v>
      </c>
      <c r="R473" s="256">
        <f t="shared" si="91"/>
        <v>429769.4</v>
      </c>
      <c r="S473" s="296"/>
      <c r="T473" s="3">
        <v>23</v>
      </c>
      <c r="U473" s="294"/>
    </row>
    <row r="474" spans="1:21" ht="30" customHeight="1" x14ac:dyDescent="0.35">
      <c r="A474" s="218" t="s">
        <v>2754</v>
      </c>
      <c r="B474" s="3">
        <v>448</v>
      </c>
      <c r="C474" s="18">
        <v>10020148</v>
      </c>
      <c r="D474" s="18" t="s">
        <v>2182</v>
      </c>
      <c r="E474" s="18" t="s">
        <v>2197</v>
      </c>
      <c r="F474" s="12">
        <v>10</v>
      </c>
      <c r="G474" s="3" t="s">
        <v>0</v>
      </c>
      <c r="H474" s="3">
        <v>2006</v>
      </c>
      <c r="I474" s="13" t="s">
        <v>999</v>
      </c>
      <c r="J474" s="4" t="s">
        <v>1962</v>
      </c>
      <c r="K474" s="4" t="s">
        <v>988</v>
      </c>
      <c r="L474" s="5" t="s">
        <v>871</v>
      </c>
      <c r="M474" s="72">
        <f t="shared" si="88"/>
        <v>1776.1</v>
      </c>
      <c r="N474" s="72">
        <f t="shared" si="89"/>
        <v>177.61</v>
      </c>
      <c r="O474" s="72">
        <v>1776.1</v>
      </c>
      <c r="P474" s="72">
        <v>1340</v>
      </c>
      <c r="Q474" s="256">
        <f t="shared" si="90"/>
        <v>294.8</v>
      </c>
      <c r="R474" s="256">
        <f t="shared" si="91"/>
        <v>1634.8</v>
      </c>
      <c r="S474" s="296"/>
      <c r="T474" s="3">
        <v>23</v>
      </c>
      <c r="U474" s="294"/>
    </row>
    <row r="475" spans="1:21" ht="30" customHeight="1" x14ac:dyDescent="0.35">
      <c r="A475" s="218" t="s">
        <v>2755</v>
      </c>
      <c r="B475" s="3">
        <v>449</v>
      </c>
      <c r="C475" s="44">
        <v>10009560</v>
      </c>
      <c r="D475" s="18" t="s">
        <v>36</v>
      </c>
      <c r="E475" s="18" t="s">
        <v>2027</v>
      </c>
      <c r="F475" s="12">
        <v>2</v>
      </c>
      <c r="G475" s="3" t="s">
        <v>0</v>
      </c>
      <c r="H475" s="5">
        <v>41633</v>
      </c>
      <c r="I475" s="27" t="s">
        <v>984</v>
      </c>
      <c r="J475" s="6" t="s">
        <v>2293</v>
      </c>
      <c r="K475" s="5" t="s">
        <v>2034</v>
      </c>
      <c r="L475" s="5" t="s">
        <v>2147</v>
      </c>
      <c r="M475" s="72">
        <f t="shared" si="88"/>
        <v>1024.8</v>
      </c>
      <c r="N475" s="72">
        <f t="shared" si="89"/>
        <v>512.4</v>
      </c>
      <c r="O475" s="72">
        <v>1024.8</v>
      </c>
      <c r="P475" s="72">
        <v>760</v>
      </c>
      <c r="Q475" s="256">
        <f t="shared" si="90"/>
        <v>167.2</v>
      </c>
      <c r="R475" s="256">
        <f t="shared" si="91"/>
        <v>927.2</v>
      </c>
      <c r="S475" s="297"/>
      <c r="T475" s="3">
        <v>23</v>
      </c>
      <c r="U475" s="294"/>
    </row>
    <row r="476" spans="1:21" ht="15" customHeight="1" x14ac:dyDescent="0.35">
      <c r="A476" s="218"/>
      <c r="B476" s="94"/>
      <c r="C476" s="44"/>
      <c r="D476" s="18"/>
      <c r="E476" s="18"/>
      <c r="F476" s="12"/>
      <c r="G476" s="3"/>
      <c r="H476" s="5"/>
      <c r="I476" s="27"/>
      <c r="J476" s="6"/>
      <c r="K476" s="5"/>
      <c r="L476" s="5"/>
      <c r="M476" s="72"/>
      <c r="N476" s="72"/>
      <c r="O476" s="82">
        <f>SUM(O385:O475)</f>
        <v>15538388.07</v>
      </c>
      <c r="P476" s="276">
        <f t="shared" ref="P476:Q476" si="92">SUM(P385:P475)</f>
        <v>8215094</v>
      </c>
      <c r="Q476" s="282">
        <f t="shared" si="92"/>
        <v>1807320.68</v>
      </c>
      <c r="R476" s="282">
        <f>SUM(R385:R475)</f>
        <v>10022414.68</v>
      </c>
      <c r="S476" s="286">
        <f>R476/100*10</f>
        <v>1002241.47</v>
      </c>
      <c r="T476" s="104">
        <v>23</v>
      </c>
      <c r="U476" s="304"/>
    </row>
    <row r="477" spans="1:21" ht="30" customHeight="1" x14ac:dyDescent="0.35">
      <c r="A477" s="218" t="s">
        <v>2756</v>
      </c>
      <c r="B477" s="3">
        <v>450</v>
      </c>
      <c r="C477" s="44">
        <v>10007562</v>
      </c>
      <c r="D477" s="18" t="s">
        <v>1645</v>
      </c>
      <c r="E477" s="18" t="s">
        <v>2027</v>
      </c>
      <c r="F477" s="12">
        <v>1</v>
      </c>
      <c r="G477" s="3" t="s">
        <v>0</v>
      </c>
      <c r="H477" s="39">
        <v>41431</v>
      </c>
      <c r="I477" s="27" t="s">
        <v>984</v>
      </c>
      <c r="J477" s="4" t="s">
        <v>1962</v>
      </c>
      <c r="K477" s="4" t="s">
        <v>988</v>
      </c>
      <c r="L477" s="29" t="s">
        <v>977</v>
      </c>
      <c r="M477" s="78">
        <f t="shared" si="88"/>
        <v>6048.35</v>
      </c>
      <c r="N477" s="78">
        <f>O477/F477</f>
        <v>6048.35</v>
      </c>
      <c r="O477" s="78">
        <v>6048.35</v>
      </c>
      <c r="P477" s="72">
        <v>11820</v>
      </c>
      <c r="Q477" s="256">
        <f>R477-P477</f>
        <v>2600.4</v>
      </c>
      <c r="R477" s="256">
        <f>P477*1.22</f>
        <v>14420.4</v>
      </c>
      <c r="S477" s="281"/>
      <c r="T477" s="3">
        <v>24</v>
      </c>
      <c r="U477" s="292" t="s">
        <v>2316</v>
      </c>
    </row>
    <row r="478" spans="1:21" ht="15" customHeight="1" x14ac:dyDescent="0.35">
      <c r="A478" s="218"/>
      <c r="B478" s="94"/>
      <c r="C478" s="44"/>
      <c r="D478" s="18"/>
      <c r="E478" s="18"/>
      <c r="F478" s="12"/>
      <c r="G478" s="3"/>
      <c r="H478" s="39"/>
      <c r="I478" s="27"/>
      <c r="J478" s="4"/>
      <c r="K478" s="4"/>
      <c r="L478" s="29"/>
      <c r="M478" s="78"/>
      <c r="N478" s="78"/>
      <c r="O478" s="108">
        <f>O477</f>
        <v>6048.35</v>
      </c>
      <c r="P478" s="276">
        <f t="shared" ref="P478:Q478" si="93">P477</f>
        <v>11820</v>
      </c>
      <c r="Q478" s="282">
        <f t="shared" si="93"/>
        <v>2600.4</v>
      </c>
      <c r="R478" s="282">
        <f>R477</f>
        <v>14420.4</v>
      </c>
      <c r="S478" s="286">
        <f>R478/100*10</f>
        <v>1442.04</v>
      </c>
      <c r="T478" s="104">
        <v>24</v>
      </c>
      <c r="U478" s="304"/>
    </row>
    <row r="479" spans="1:21" ht="30" customHeight="1" x14ac:dyDescent="0.35">
      <c r="A479" s="218" t="s">
        <v>2757</v>
      </c>
      <c r="B479" s="3">
        <v>451</v>
      </c>
      <c r="C479" s="44">
        <v>10040653</v>
      </c>
      <c r="D479" s="18" t="s">
        <v>1493</v>
      </c>
      <c r="E479" s="19" t="s">
        <v>2219</v>
      </c>
      <c r="F479" s="12">
        <v>123</v>
      </c>
      <c r="G479" s="3" t="s">
        <v>0</v>
      </c>
      <c r="H479" s="39">
        <v>41375</v>
      </c>
      <c r="I479" s="27" t="s">
        <v>984</v>
      </c>
      <c r="J479" s="4" t="s">
        <v>1962</v>
      </c>
      <c r="K479" s="4" t="s">
        <v>988</v>
      </c>
      <c r="L479" s="29" t="s">
        <v>977</v>
      </c>
      <c r="M479" s="78">
        <f t="shared" si="88"/>
        <v>46502.12</v>
      </c>
      <c r="N479" s="78">
        <f t="shared" ref="N479:N498" si="94">O479/F479</f>
        <v>378.07</v>
      </c>
      <c r="O479" s="78">
        <v>46502.12</v>
      </c>
      <c r="P479" s="72">
        <v>70960</v>
      </c>
      <c r="Q479" s="256">
        <f t="shared" ref="Q479:Q498" si="95">R479-P479</f>
        <v>15611.2</v>
      </c>
      <c r="R479" s="256">
        <f t="shared" ref="R479:R498" si="96">P479*1.22</f>
        <v>86571.199999999997</v>
      </c>
      <c r="S479" s="289"/>
      <c r="T479" s="3">
        <v>25</v>
      </c>
      <c r="U479" s="292" t="s">
        <v>2317</v>
      </c>
    </row>
    <row r="480" spans="1:21" ht="26.25" customHeight="1" x14ac:dyDescent="0.35">
      <c r="A480" s="218" t="s">
        <v>2758</v>
      </c>
      <c r="B480" s="3">
        <v>452</v>
      </c>
      <c r="C480" s="44">
        <v>10019925</v>
      </c>
      <c r="D480" s="18" t="s">
        <v>1494</v>
      </c>
      <c r="E480" s="19" t="s">
        <v>2219</v>
      </c>
      <c r="F480" s="12">
        <v>9</v>
      </c>
      <c r="G480" s="3" t="s">
        <v>0</v>
      </c>
      <c r="H480" s="39">
        <v>41375</v>
      </c>
      <c r="I480" s="27" t="s">
        <v>984</v>
      </c>
      <c r="J480" s="4" t="s">
        <v>1962</v>
      </c>
      <c r="K480" s="4" t="s">
        <v>988</v>
      </c>
      <c r="L480" s="29" t="s">
        <v>977</v>
      </c>
      <c r="M480" s="78">
        <f t="shared" si="88"/>
        <v>25173.9</v>
      </c>
      <c r="N480" s="78">
        <f t="shared" si="94"/>
        <v>2797.1</v>
      </c>
      <c r="O480" s="78">
        <v>25173.9</v>
      </c>
      <c r="P480" s="72">
        <v>38420</v>
      </c>
      <c r="Q480" s="256">
        <f t="shared" si="95"/>
        <v>8452.4</v>
      </c>
      <c r="R480" s="256">
        <f t="shared" si="96"/>
        <v>46872.4</v>
      </c>
      <c r="S480" s="296"/>
      <c r="T480" s="3">
        <v>25</v>
      </c>
      <c r="U480" s="293"/>
    </row>
    <row r="481" spans="1:21" ht="24" customHeight="1" x14ac:dyDescent="0.35">
      <c r="A481" s="218" t="s">
        <v>2759</v>
      </c>
      <c r="B481" s="3">
        <v>453</v>
      </c>
      <c r="C481" s="44">
        <v>10040654</v>
      </c>
      <c r="D481" s="18" t="s">
        <v>1495</v>
      </c>
      <c r="E481" s="19" t="s">
        <v>2219</v>
      </c>
      <c r="F481" s="12">
        <v>13</v>
      </c>
      <c r="G481" s="3" t="s">
        <v>0</v>
      </c>
      <c r="H481" s="39">
        <v>41375</v>
      </c>
      <c r="I481" s="27" t="s">
        <v>984</v>
      </c>
      <c r="J481" s="4" t="s">
        <v>1962</v>
      </c>
      <c r="K481" s="4" t="s">
        <v>988</v>
      </c>
      <c r="L481" s="29" t="s">
        <v>977</v>
      </c>
      <c r="M481" s="78">
        <f t="shared" si="88"/>
        <v>5252.09</v>
      </c>
      <c r="N481" s="78">
        <f t="shared" si="94"/>
        <v>404.01</v>
      </c>
      <c r="O481" s="78">
        <v>5252.09</v>
      </c>
      <c r="P481" s="72">
        <v>8010</v>
      </c>
      <c r="Q481" s="256">
        <f t="shared" si="95"/>
        <v>1762.2</v>
      </c>
      <c r="R481" s="256">
        <f t="shared" si="96"/>
        <v>9772.2000000000007</v>
      </c>
      <c r="S481" s="296"/>
      <c r="T481" s="3">
        <v>25</v>
      </c>
      <c r="U481" s="293"/>
    </row>
    <row r="482" spans="1:21" ht="30" customHeight="1" x14ac:dyDescent="0.35">
      <c r="A482" s="218" t="s">
        <v>2760</v>
      </c>
      <c r="B482" s="3">
        <v>454</v>
      </c>
      <c r="C482" s="44">
        <v>10040655</v>
      </c>
      <c r="D482" s="18" t="s">
        <v>1496</v>
      </c>
      <c r="E482" s="19" t="s">
        <v>2219</v>
      </c>
      <c r="F482" s="12">
        <v>42</v>
      </c>
      <c r="G482" s="3" t="s">
        <v>0</v>
      </c>
      <c r="H482" s="39">
        <v>40224</v>
      </c>
      <c r="I482" s="27" t="s">
        <v>984</v>
      </c>
      <c r="J482" s="4" t="s">
        <v>1962</v>
      </c>
      <c r="K482" s="4" t="s">
        <v>988</v>
      </c>
      <c r="L482" s="29" t="s">
        <v>977</v>
      </c>
      <c r="M482" s="78">
        <f t="shared" si="88"/>
        <v>18152.78</v>
      </c>
      <c r="N482" s="78">
        <f t="shared" si="94"/>
        <v>432.21</v>
      </c>
      <c r="O482" s="78">
        <v>18152.78</v>
      </c>
      <c r="P482" s="72">
        <v>32870</v>
      </c>
      <c r="Q482" s="256">
        <f t="shared" si="95"/>
        <v>7231.4</v>
      </c>
      <c r="R482" s="256">
        <f t="shared" si="96"/>
        <v>40101.4</v>
      </c>
      <c r="S482" s="296"/>
      <c r="T482" s="3">
        <v>25</v>
      </c>
      <c r="U482" s="293"/>
    </row>
    <row r="483" spans="1:21" ht="15" customHeight="1" x14ac:dyDescent="0.35">
      <c r="A483" s="218" t="s">
        <v>2761</v>
      </c>
      <c r="B483" s="3">
        <v>455</v>
      </c>
      <c r="C483" s="44">
        <v>10040656</v>
      </c>
      <c r="D483" s="18" t="s">
        <v>1497</v>
      </c>
      <c r="E483" s="19" t="s">
        <v>2219</v>
      </c>
      <c r="F483" s="12">
        <v>13</v>
      </c>
      <c r="G483" s="3" t="s">
        <v>0</v>
      </c>
      <c r="H483" s="39">
        <v>41375</v>
      </c>
      <c r="I483" s="27" t="s">
        <v>984</v>
      </c>
      <c r="J483" s="4" t="s">
        <v>1962</v>
      </c>
      <c r="K483" s="4" t="s">
        <v>988</v>
      </c>
      <c r="L483" s="29" t="s">
        <v>977</v>
      </c>
      <c r="M483" s="78">
        <f t="shared" si="88"/>
        <v>5378.49</v>
      </c>
      <c r="N483" s="78">
        <f t="shared" si="94"/>
        <v>413.73</v>
      </c>
      <c r="O483" s="78">
        <v>5378.49</v>
      </c>
      <c r="P483" s="72">
        <v>8210</v>
      </c>
      <c r="Q483" s="256">
        <f t="shared" si="95"/>
        <v>1806.2</v>
      </c>
      <c r="R483" s="256">
        <f t="shared" si="96"/>
        <v>10016.200000000001</v>
      </c>
      <c r="S483" s="296"/>
      <c r="T483" s="3">
        <v>25</v>
      </c>
      <c r="U483" s="293"/>
    </row>
    <row r="484" spans="1:21" ht="30" customHeight="1" x14ac:dyDescent="0.35">
      <c r="A484" s="218" t="s">
        <v>2762</v>
      </c>
      <c r="B484" s="3">
        <v>456</v>
      </c>
      <c r="C484" s="44">
        <v>10007368</v>
      </c>
      <c r="D484" s="18" t="s">
        <v>1498</v>
      </c>
      <c r="E484" s="19" t="s">
        <v>2219</v>
      </c>
      <c r="F484" s="12">
        <v>112</v>
      </c>
      <c r="G484" s="3" t="s">
        <v>0</v>
      </c>
      <c r="H484" s="39">
        <v>41375</v>
      </c>
      <c r="I484" s="27" t="s">
        <v>984</v>
      </c>
      <c r="J484" s="4" t="s">
        <v>1962</v>
      </c>
      <c r="K484" s="4" t="s">
        <v>988</v>
      </c>
      <c r="L484" s="29" t="s">
        <v>977</v>
      </c>
      <c r="M484" s="78">
        <f t="shared" si="88"/>
        <v>100654.21</v>
      </c>
      <c r="N484" s="78">
        <f t="shared" si="94"/>
        <v>898.7</v>
      </c>
      <c r="O484" s="78">
        <v>100654.21</v>
      </c>
      <c r="P484" s="72">
        <v>153600</v>
      </c>
      <c r="Q484" s="256">
        <f t="shared" si="95"/>
        <v>33792</v>
      </c>
      <c r="R484" s="256">
        <f t="shared" si="96"/>
        <v>187392</v>
      </c>
      <c r="S484" s="296"/>
      <c r="T484" s="3">
        <v>25</v>
      </c>
      <c r="U484" s="293"/>
    </row>
    <row r="485" spans="1:21" ht="15" customHeight="1" x14ac:dyDescent="0.35">
      <c r="A485" s="218" t="s">
        <v>2763</v>
      </c>
      <c r="B485" s="3">
        <v>457</v>
      </c>
      <c r="C485" s="44">
        <v>10019927</v>
      </c>
      <c r="D485" s="18" t="s">
        <v>1499</v>
      </c>
      <c r="E485" s="19" t="s">
        <v>2219</v>
      </c>
      <c r="F485" s="12">
        <v>9</v>
      </c>
      <c r="G485" s="3" t="s">
        <v>0</v>
      </c>
      <c r="H485" s="39">
        <v>41375</v>
      </c>
      <c r="I485" s="27" t="s">
        <v>984</v>
      </c>
      <c r="J485" s="4" t="s">
        <v>1962</v>
      </c>
      <c r="K485" s="4" t="s">
        <v>988</v>
      </c>
      <c r="L485" s="29" t="s">
        <v>977</v>
      </c>
      <c r="M485" s="78">
        <f t="shared" si="88"/>
        <v>1730.68</v>
      </c>
      <c r="N485" s="78">
        <f t="shared" si="94"/>
        <v>192.3</v>
      </c>
      <c r="O485" s="78">
        <v>1730.68</v>
      </c>
      <c r="P485" s="72">
        <v>2640</v>
      </c>
      <c r="Q485" s="256">
        <f t="shared" si="95"/>
        <v>580.79999999999995</v>
      </c>
      <c r="R485" s="256">
        <f t="shared" si="96"/>
        <v>3220.8</v>
      </c>
      <c r="S485" s="296"/>
      <c r="T485" s="3">
        <v>25</v>
      </c>
      <c r="U485" s="293"/>
    </row>
    <row r="486" spans="1:21" ht="15" customHeight="1" x14ac:dyDescent="0.35">
      <c r="A486" s="218" t="s">
        <v>2764</v>
      </c>
      <c r="B486" s="3">
        <v>458</v>
      </c>
      <c r="C486" s="44">
        <v>10106435</v>
      </c>
      <c r="D486" s="18" t="s">
        <v>1515</v>
      </c>
      <c r="E486" s="19" t="s">
        <v>2219</v>
      </c>
      <c r="F486" s="12">
        <v>42</v>
      </c>
      <c r="G486" s="3" t="s">
        <v>0</v>
      </c>
      <c r="H486" s="39">
        <v>41375</v>
      </c>
      <c r="I486" s="27" t="s">
        <v>984</v>
      </c>
      <c r="J486" s="4" t="s">
        <v>1962</v>
      </c>
      <c r="K486" s="4" t="s">
        <v>988</v>
      </c>
      <c r="L486" s="29" t="s">
        <v>977</v>
      </c>
      <c r="M486" s="78">
        <f t="shared" si="88"/>
        <v>26622.12</v>
      </c>
      <c r="N486" s="78">
        <f t="shared" si="94"/>
        <v>633.86</v>
      </c>
      <c r="O486" s="78">
        <v>26622.12</v>
      </c>
      <c r="P486" s="72">
        <v>40630</v>
      </c>
      <c r="Q486" s="256">
        <f t="shared" si="95"/>
        <v>8938.6</v>
      </c>
      <c r="R486" s="256">
        <f t="shared" si="96"/>
        <v>49568.6</v>
      </c>
      <c r="S486" s="296"/>
      <c r="T486" s="3">
        <v>25</v>
      </c>
      <c r="U486" s="293"/>
    </row>
    <row r="487" spans="1:21" ht="20.25" customHeight="1" x14ac:dyDescent="0.35">
      <c r="A487" s="218" t="s">
        <v>2765</v>
      </c>
      <c r="B487" s="3">
        <v>459</v>
      </c>
      <c r="C487" s="44">
        <v>10121809</v>
      </c>
      <c r="D487" s="18" t="s">
        <v>1516</v>
      </c>
      <c r="E487" s="19" t="s">
        <v>2219</v>
      </c>
      <c r="F487" s="12">
        <v>9</v>
      </c>
      <c r="G487" s="3" t="s">
        <v>0</v>
      </c>
      <c r="H487" s="39">
        <v>41375</v>
      </c>
      <c r="I487" s="27" t="s">
        <v>984</v>
      </c>
      <c r="J487" s="4" t="s">
        <v>1962</v>
      </c>
      <c r="K487" s="4" t="s">
        <v>988</v>
      </c>
      <c r="L487" s="29" t="s">
        <v>977</v>
      </c>
      <c r="M487" s="78">
        <f t="shared" si="88"/>
        <v>5630.94</v>
      </c>
      <c r="N487" s="78">
        <f t="shared" si="94"/>
        <v>625.66</v>
      </c>
      <c r="O487" s="78">
        <v>5630.94</v>
      </c>
      <c r="P487" s="72">
        <v>8590</v>
      </c>
      <c r="Q487" s="256">
        <f t="shared" si="95"/>
        <v>1889.8</v>
      </c>
      <c r="R487" s="256">
        <f t="shared" si="96"/>
        <v>10479.799999999999</v>
      </c>
      <c r="S487" s="296"/>
      <c r="T487" s="3">
        <v>25</v>
      </c>
      <c r="U487" s="293"/>
    </row>
    <row r="488" spans="1:21" ht="15" customHeight="1" x14ac:dyDescent="0.35">
      <c r="A488" s="218" t="s">
        <v>2766</v>
      </c>
      <c r="B488" s="3">
        <v>460</v>
      </c>
      <c r="C488" s="44">
        <v>10090497</v>
      </c>
      <c r="D488" s="18" t="s">
        <v>1517</v>
      </c>
      <c r="E488" s="19" t="s">
        <v>2219</v>
      </c>
      <c r="F488" s="12">
        <v>9</v>
      </c>
      <c r="G488" s="3" t="s">
        <v>0</v>
      </c>
      <c r="H488" s="39">
        <v>41375</v>
      </c>
      <c r="I488" s="27" t="s">
        <v>984</v>
      </c>
      <c r="J488" s="4" t="s">
        <v>1962</v>
      </c>
      <c r="K488" s="4" t="s">
        <v>988</v>
      </c>
      <c r="L488" s="29" t="s">
        <v>977</v>
      </c>
      <c r="M488" s="79">
        <f t="shared" si="88"/>
        <v>11158.56</v>
      </c>
      <c r="N488" s="79">
        <f t="shared" si="94"/>
        <v>1239.8399999999999</v>
      </c>
      <c r="O488" s="78">
        <v>11158.56</v>
      </c>
      <c r="P488" s="72">
        <v>17030</v>
      </c>
      <c r="Q488" s="256">
        <f t="shared" si="95"/>
        <v>3746.6</v>
      </c>
      <c r="R488" s="256">
        <f t="shared" si="96"/>
        <v>20776.599999999999</v>
      </c>
      <c r="S488" s="296"/>
      <c r="T488" s="3">
        <v>25</v>
      </c>
      <c r="U488" s="293"/>
    </row>
    <row r="489" spans="1:21" ht="15" customHeight="1" x14ac:dyDescent="0.35">
      <c r="A489" s="218" t="s">
        <v>2767</v>
      </c>
      <c r="B489" s="3">
        <v>461</v>
      </c>
      <c r="C489" s="44">
        <v>10127783</v>
      </c>
      <c r="D489" s="18" t="s">
        <v>1518</v>
      </c>
      <c r="E489" s="19" t="s">
        <v>2219</v>
      </c>
      <c r="F489" s="12">
        <v>42</v>
      </c>
      <c r="G489" s="3" t="s">
        <v>0</v>
      </c>
      <c r="H489" s="39">
        <v>41375</v>
      </c>
      <c r="I489" s="27" t="s">
        <v>984</v>
      </c>
      <c r="J489" s="4" t="s">
        <v>1962</v>
      </c>
      <c r="K489" s="4" t="s">
        <v>988</v>
      </c>
      <c r="L489" s="29" t="s">
        <v>977</v>
      </c>
      <c r="M489" s="78">
        <f t="shared" si="88"/>
        <v>37640.400000000001</v>
      </c>
      <c r="N489" s="78">
        <f t="shared" si="94"/>
        <v>896.2</v>
      </c>
      <c r="O489" s="78">
        <v>37640.400000000001</v>
      </c>
      <c r="P489" s="72">
        <v>57440</v>
      </c>
      <c r="Q489" s="256">
        <f t="shared" si="95"/>
        <v>12636.8</v>
      </c>
      <c r="R489" s="256">
        <f t="shared" si="96"/>
        <v>70076.800000000003</v>
      </c>
      <c r="S489" s="296"/>
      <c r="T489" s="3">
        <v>25</v>
      </c>
      <c r="U489" s="293"/>
    </row>
    <row r="490" spans="1:21" ht="15" customHeight="1" x14ac:dyDescent="0.35">
      <c r="A490" s="218" t="s">
        <v>2768</v>
      </c>
      <c r="B490" s="3">
        <v>462</v>
      </c>
      <c r="C490" s="44">
        <v>10120737</v>
      </c>
      <c r="D490" s="18" t="s">
        <v>1519</v>
      </c>
      <c r="E490" s="19" t="s">
        <v>2219</v>
      </c>
      <c r="F490" s="12">
        <v>12</v>
      </c>
      <c r="G490" s="3" t="s">
        <v>0</v>
      </c>
      <c r="H490" s="39">
        <v>41375</v>
      </c>
      <c r="I490" s="27" t="s">
        <v>984</v>
      </c>
      <c r="J490" s="4" t="s">
        <v>1962</v>
      </c>
      <c r="K490" s="4" t="s">
        <v>988</v>
      </c>
      <c r="L490" s="29" t="s">
        <v>977</v>
      </c>
      <c r="M490" s="78">
        <f t="shared" si="88"/>
        <v>3509.65</v>
      </c>
      <c r="N490" s="78">
        <f t="shared" si="94"/>
        <v>292.47000000000003</v>
      </c>
      <c r="O490" s="78">
        <v>3509.65</v>
      </c>
      <c r="P490" s="72">
        <v>5360</v>
      </c>
      <c r="Q490" s="256">
        <f t="shared" si="95"/>
        <v>1179.2</v>
      </c>
      <c r="R490" s="256">
        <f t="shared" si="96"/>
        <v>6539.2</v>
      </c>
      <c r="S490" s="296"/>
      <c r="T490" s="3">
        <v>25</v>
      </c>
      <c r="U490" s="293"/>
    </row>
    <row r="491" spans="1:21" ht="15" customHeight="1" x14ac:dyDescent="0.35">
      <c r="A491" s="218" t="s">
        <v>2769</v>
      </c>
      <c r="B491" s="3">
        <v>463</v>
      </c>
      <c r="C491" s="44">
        <v>10090614</v>
      </c>
      <c r="D491" s="18" t="s">
        <v>1520</v>
      </c>
      <c r="E491" s="19" t="s">
        <v>2219</v>
      </c>
      <c r="F491" s="12">
        <v>25</v>
      </c>
      <c r="G491" s="3" t="s">
        <v>0</v>
      </c>
      <c r="H491" s="39">
        <v>41375</v>
      </c>
      <c r="I491" s="27" t="s">
        <v>984</v>
      </c>
      <c r="J491" s="4" t="s">
        <v>1962</v>
      </c>
      <c r="K491" s="4" t="s">
        <v>988</v>
      </c>
      <c r="L491" s="29" t="s">
        <v>977</v>
      </c>
      <c r="M491" s="78">
        <f t="shared" si="88"/>
        <v>27940.07</v>
      </c>
      <c r="N491" s="78">
        <f t="shared" si="94"/>
        <v>1117.5999999999999</v>
      </c>
      <c r="O491" s="78">
        <v>27940.07</v>
      </c>
      <c r="P491" s="72">
        <v>42640</v>
      </c>
      <c r="Q491" s="256">
        <f t="shared" si="95"/>
        <v>9380.7999999999993</v>
      </c>
      <c r="R491" s="256">
        <f t="shared" si="96"/>
        <v>52020.800000000003</v>
      </c>
      <c r="S491" s="296"/>
      <c r="T491" s="3">
        <v>25</v>
      </c>
      <c r="U491" s="293"/>
    </row>
    <row r="492" spans="1:21" ht="15" customHeight="1" x14ac:dyDescent="0.35">
      <c r="A492" s="218" t="s">
        <v>2770</v>
      </c>
      <c r="B492" s="3">
        <v>464</v>
      </c>
      <c r="C492" s="44">
        <v>10027992</v>
      </c>
      <c r="D492" s="18" t="s">
        <v>1521</v>
      </c>
      <c r="E492" s="19" t="s">
        <v>2219</v>
      </c>
      <c r="F492" s="12">
        <v>42</v>
      </c>
      <c r="G492" s="3" t="s">
        <v>0</v>
      </c>
      <c r="H492" s="39">
        <v>41479</v>
      </c>
      <c r="I492" s="27" t="s">
        <v>984</v>
      </c>
      <c r="J492" s="4" t="s">
        <v>1962</v>
      </c>
      <c r="K492" s="4" t="s">
        <v>988</v>
      </c>
      <c r="L492" s="29" t="s">
        <v>977</v>
      </c>
      <c r="M492" s="78">
        <f t="shared" si="88"/>
        <v>66257.960000000006</v>
      </c>
      <c r="N492" s="78">
        <f t="shared" si="94"/>
        <v>1577.57</v>
      </c>
      <c r="O492" s="78">
        <v>66257.960000000006</v>
      </c>
      <c r="P492" s="72">
        <v>98000</v>
      </c>
      <c r="Q492" s="256">
        <f t="shared" si="95"/>
        <v>21560</v>
      </c>
      <c r="R492" s="256">
        <f t="shared" si="96"/>
        <v>119560</v>
      </c>
      <c r="S492" s="296"/>
      <c r="T492" s="3">
        <v>25</v>
      </c>
      <c r="U492" s="293"/>
    </row>
    <row r="493" spans="1:21" ht="15" customHeight="1" x14ac:dyDescent="0.35">
      <c r="A493" s="218" t="s">
        <v>2771</v>
      </c>
      <c r="B493" s="3">
        <v>465</v>
      </c>
      <c r="C493" s="44">
        <v>10031298</v>
      </c>
      <c r="D493" s="18" t="s">
        <v>1522</v>
      </c>
      <c r="E493" s="19" t="s">
        <v>2219</v>
      </c>
      <c r="F493" s="12">
        <v>21</v>
      </c>
      <c r="G493" s="3" t="s">
        <v>0</v>
      </c>
      <c r="H493" s="39">
        <v>41375</v>
      </c>
      <c r="I493" s="27" t="s">
        <v>984</v>
      </c>
      <c r="J493" s="4" t="s">
        <v>1962</v>
      </c>
      <c r="K493" s="4" t="s">
        <v>988</v>
      </c>
      <c r="L493" s="29" t="s">
        <v>977</v>
      </c>
      <c r="M493" s="78">
        <f t="shared" si="88"/>
        <v>6196.92</v>
      </c>
      <c r="N493" s="78">
        <f t="shared" si="94"/>
        <v>295.08999999999997</v>
      </c>
      <c r="O493" s="78">
        <v>6196.92</v>
      </c>
      <c r="P493" s="72">
        <v>9460</v>
      </c>
      <c r="Q493" s="256">
        <f t="shared" si="95"/>
        <v>2081.1999999999998</v>
      </c>
      <c r="R493" s="256">
        <f t="shared" si="96"/>
        <v>11541.2</v>
      </c>
      <c r="S493" s="296"/>
      <c r="T493" s="3">
        <v>25</v>
      </c>
      <c r="U493" s="293"/>
    </row>
    <row r="494" spans="1:21" ht="15" customHeight="1" x14ac:dyDescent="0.35">
      <c r="A494" s="218" t="s">
        <v>2772</v>
      </c>
      <c r="B494" s="3">
        <v>466</v>
      </c>
      <c r="C494" s="44">
        <v>10090615</v>
      </c>
      <c r="D494" s="18" t="s">
        <v>1523</v>
      </c>
      <c r="E494" s="19" t="s">
        <v>2219</v>
      </c>
      <c r="F494" s="12">
        <v>52</v>
      </c>
      <c r="G494" s="3" t="s">
        <v>0</v>
      </c>
      <c r="H494" s="39">
        <v>41375</v>
      </c>
      <c r="I494" s="27" t="s">
        <v>984</v>
      </c>
      <c r="J494" s="4" t="s">
        <v>1962</v>
      </c>
      <c r="K494" s="4" t="s">
        <v>988</v>
      </c>
      <c r="L494" s="29" t="s">
        <v>977</v>
      </c>
      <c r="M494" s="78">
        <f t="shared" si="88"/>
        <v>24113.759999999998</v>
      </c>
      <c r="N494" s="78">
        <f t="shared" si="94"/>
        <v>463.73</v>
      </c>
      <c r="O494" s="78">
        <v>24113.759999999998</v>
      </c>
      <c r="P494" s="72">
        <v>36800</v>
      </c>
      <c r="Q494" s="256">
        <f t="shared" si="95"/>
        <v>8096</v>
      </c>
      <c r="R494" s="256">
        <f t="shared" si="96"/>
        <v>44896</v>
      </c>
      <c r="S494" s="296"/>
      <c r="T494" s="3">
        <v>25</v>
      </c>
      <c r="U494" s="293"/>
    </row>
    <row r="495" spans="1:21" ht="30" customHeight="1" x14ac:dyDescent="0.35">
      <c r="A495" s="218" t="s">
        <v>2773</v>
      </c>
      <c r="B495" s="3">
        <v>467</v>
      </c>
      <c r="C495" s="44">
        <v>10002578</v>
      </c>
      <c r="D495" s="18" t="s">
        <v>1524</v>
      </c>
      <c r="E495" s="19" t="s">
        <v>2219</v>
      </c>
      <c r="F495" s="12">
        <v>13</v>
      </c>
      <c r="G495" s="3" t="s">
        <v>0</v>
      </c>
      <c r="H495" s="39">
        <v>41375</v>
      </c>
      <c r="I495" s="27" t="s">
        <v>984</v>
      </c>
      <c r="J495" s="4" t="s">
        <v>1962</v>
      </c>
      <c r="K495" s="4" t="s">
        <v>988</v>
      </c>
      <c r="L495" s="29" t="s">
        <v>977</v>
      </c>
      <c r="M495" s="78">
        <f t="shared" si="88"/>
        <v>8995.74</v>
      </c>
      <c r="N495" s="78">
        <f t="shared" si="94"/>
        <v>691.98</v>
      </c>
      <c r="O495" s="78">
        <v>8995.74</v>
      </c>
      <c r="P495" s="72">
        <v>13730</v>
      </c>
      <c r="Q495" s="256">
        <f t="shared" si="95"/>
        <v>3020.6</v>
      </c>
      <c r="R495" s="256">
        <f t="shared" si="96"/>
        <v>16750.599999999999</v>
      </c>
      <c r="S495" s="296"/>
      <c r="T495" s="3">
        <v>25</v>
      </c>
      <c r="U495" s="293"/>
    </row>
    <row r="496" spans="1:21" ht="15" customHeight="1" x14ac:dyDescent="0.35">
      <c r="A496" s="218" t="s">
        <v>2774</v>
      </c>
      <c r="B496" s="3">
        <v>468</v>
      </c>
      <c r="C496" s="44">
        <v>10117577</v>
      </c>
      <c r="D496" s="18" t="s">
        <v>1525</v>
      </c>
      <c r="E496" s="19" t="s">
        <v>2219</v>
      </c>
      <c r="F496" s="12">
        <v>87</v>
      </c>
      <c r="G496" s="3" t="s">
        <v>0</v>
      </c>
      <c r="H496" s="39">
        <v>41375</v>
      </c>
      <c r="I496" s="27" t="s">
        <v>984</v>
      </c>
      <c r="J496" s="4" t="s">
        <v>1962</v>
      </c>
      <c r="K496" s="4" t="s">
        <v>988</v>
      </c>
      <c r="L496" s="29" t="s">
        <v>977</v>
      </c>
      <c r="M496" s="78">
        <f t="shared" si="88"/>
        <v>60301.440000000002</v>
      </c>
      <c r="N496" s="78">
        <f t="shared" si="94"/>
        <v>693.12</v>
      </c>
      <c r="O496" s="78">
        <v>60301.440000000002</v>
      </c>
      <c r="P496" s="72">
        <v>92020</v>
      </c>
      <c r="Q496" s="256">
        <f t="shared" si="95"/>
        <v>20244.400000000001</v>
      </c>
      <c r="R496" s="256">
        <f t="shared" si="96"/>
        <v>112264.4</v>
      </c>
      <c r="S496" s="296"/>
      <c r="T496" s="3">
        <v>25</v>
      </c>
      <c r="U496" s="293"/>
    </row>
    <row r="497" spans="1:21" ht="30" customHeight="1" x14ac:dyDescent="0.35">
      <c r="A497" s="218" t="s">
        <v>2775</v>
      </c>
      <c r="B497" s="3">
        <v>469</v>
      </c>
      <c r="C497" s="44">
        <v>102000921</v>
      </c>
      <c r="D497" s="18" t="s">
        <v>1896</v>
      </c>
      <c r="E497" s="18" t="s">
        <v>2027</v>
      </c>
      <c r="F497" s="12">
        <v>1</v>
      </c>
      <c r="G497" s="3" t="s">
        <v>0</v>
      </c>
      <c r="H497" s="39">
        <v>42004</v>
      </c>
      <c r="I497" s="27" t="s">
        <v>984</v>
      </c>
      <c r="J497" s="4" t="s">
        <v>1962</v>
      </c>
      <c r="K497" s="4" t="s">
        <v>988</v>
      </c>
      <c r="L497" s="29" t="s">
        <v>977</v>
      </c>
      <c r="M497" s="78">
        <f t="shared" ref="M497:M550" si="97">O497</f>
        <v>98659.64</v>
      </c>
      <c r="N497" s="78">
        <f t="shared" si="94"/>
        <v>98659.64</v>
      </c>
      <c r="O497" s="78">
        <v>98659.64</v>
      </c>
      <c r="P497" s="72">
        <v>122190</v>
      </c>
      <c r="Q497" s="256">
        <f t="shared" si="95"/>
        <v>26881.8</v>
      </c>
      <c r="R497" s="256">
        <f t="shared" si="96"/>
        <v>149071.79999999999</v>
      </c>
      <c r="S497" s="296"/>
      <c r="T497" s="3">
        <v>25</v>
      </c>
      <c r="U497" s="293"/>
    </row>
    <row r="498" spans="1:21" ht="15" customHeight="1" x14ac:dyDescent="0.35">
      <c r="A498" s="218" t="s">
        <v>2776</v>
      </c>
      <c r="B498" s="3">
        <v>470</v>
      </c>
      <c r="C498" s="44">
        <v>10005688</v>
      </c>
      <c r="D498" s="18" t="s">
        <v>1857</v>
      </c>
      <c r="E498" s="18" t="s">
        <v>2228</v>
      </c>
      <c r="F498" s="12">
        <f>2-1</f>
        <v>1</v>
      </c>
      <c r="G498" s="3" t="s">
        <v>0</v>
      </c>
      <c r="H498" s="39">
        <v>42200</v>
      </c>
      <c r="I498" s="27" t="s">
        <v>984</v>
      </c>
      <c r="J498" s="4" t="s">
        <v>1962</v>
      </c>
      <c r="K498" s="4" t="s">
        <v>988</v>
      </c>
      <c r="L498" s="29" t="s">
        <v>977</v>
      </c>
      <c r="M498" s="78">
        <f t="shared" si="97"/>
        <v>9045</v>
      </c>
      <c r="N498" s="78">
        <f t="shared" si="94"/>
        <v>9045</v>
      </c>
      <c r="O498" s="78">
        <f>18090/2*1</f>
        <v>9045</v>
      </c>
      <c r="P498" s="72">
        <v>10050</v>
      </c>
      <c r="Q498" s="256">
        <f t="shared" si="95"/>
        <v>2211</v>
      </c>
      <c r="R498" s="256">
        <f t="shared" si="96"/>
        <v>12261</v>
      </c>
      <c r="S498" s="297"/>
      <c r="T498" s="3">
        <v>25</v>
      </c>
      <c r="U498" s="293"/>
    </row>
    <row r="499" spans="1:21" ht="15" customHeight="1" x14ac:dyDescent="0.35">
      <c r="A499" s="218"/>
      <c r="B499" s="94"/>
      <c r="C499" s="44"/>
      <c r="D499" s="18"/>
      <c r="E499" s="18"/>
      <c r="F499" s="12"/>
      <c r="G499" s="3"/>
      <c r="H499" s="39"/>
      <c r="I499" s="27"/>
      <c r="J499" s="4"/>
      <c r="K499" s="4"/>
      <c r="L499" s="29"/>
      <c r="M499" s="78"/>
      <c r="N499" s="78"/>
      <c r="O499" s="108">
        <f>SUM(O479:O498)</f>
        <v>588916.47</v>
      </c>
      <c r="P499" s="276">
        <f t="shared" ref="P499:Q499" si="98">SUM(P479:P498)</f>
        <v>868650</v>
      </c>
      <c r="Q499" s="282">
        <f t="shared" si="98"/>
        <v>191103</v>
      </c>
      <c r="R499" s="282">
        <f>SUM(R479:R498)</f>
        <v>1059753</v>
      </c>
      <c r="S499" s="286">
        <f>R499/100*10</f>
        <v>105975.3</v>
      </c>
      <c r="T499" s="104">
        <v>25</v>
      </c>
      <c r="U499" s="304"/>
    </row>
    <row r="500" spans="1:21" ht="15" customHeight="1" x14ac:dyDescent="0.35">
      <c r="A500" s="218" t="s">
        <v>2777</v>
      </c>
      <c r="B500" s="3">
        <v>471</v>
      </c>
      <c r="C500" s="44">
        <v>10056608</v>
      </c>
      <c r="D500" s="18" t="s">
        <v>393</v>
      </c>
      <c r="E500" s="18" t="s">
        <v>2197</v>
      </c>
      <c r="F500" s="12">
        <v>7</v>
      </c>
      <c r="G500" s="3" t="s">
        <v>0</v>
      </c>
      <c r="H500" s="49" t="s">
        <v>2195</v>
      </c>
      <c r="I500" s="5" t="s">
        <v>999</v>
      </c>
      <c r="J500" s="4" t="s">
        <v>1962</v>
      </c>
      <c r="K500" s="5" t="s">
        <v>988</v>
      </c>
      <c r="L500" s="5" t="s">
        <v>871</v>
      </c>
      <c r="M500" s="72">
        <f t="shared" si="97"/>
        <v>166635</v>
      </c>
      <c r="N500" s="72">
        <f t="shared" ref="N500:N505" si="99">O500/F500</f>
        <v>23805</v>
      </c>
      <c r="O500" s="72">
        <v>166635</v>
      </c>
      <c r="P500" s="72">
        <v>178700</v>
      </c>
      <c r="Q500" s="256">
        <f t="shared" ref="Q500:Q505" si="100">R500-P500</f>
        <v>39314</v>
      </c>
      <c r="R500" s="256">
        <f t="shared" ref="R500:R505" si="101">P500*1.22</f>
        <v>218014</v>
      </c>
      <c r="S500" s="289"/>
      <c r="T500" s="3">
        <v>26</v>
      </c>
      <c r="U500" s="292" t="s">
        <v>2317</v>
      </c>
    </row>
    <row r="501" spans="1:21" ht="15" customHeight="1" x14ac:dyDescent="0.35">
      <c r="A501" s="218" t="s">
        <v>2778</v>
      </c>
      <c r="B501" s="3">
        <v>472</v>
      </c>
      <c r="C501" s="44">
        <v>102002015</v>
      </c>
      <c r="D501" s="18" t="s">
        <v>367</v>
      </c>
      <c r="E501" s="18" t="s">
        <v>2201</v>
      </c>
      <c r="F501" s="12">
        <v>2</v>
      </c>
      <c r="G501" s="3" t="s">
        <v>0</v>
      </c>
      <c r="H501" s="5">
        <v>42004</v>
      </c>
      <c r="I501" s="5" t="s">
        <v>999</v>
      </c>
      <c r="J501" s="4" t="s">
        <v>1962</v>
      </c>
      <c r="K501" s="5" t="s">
        <v>988</v>
      </c>
      <c r="L501" s="29" t="s">
        <v>2143</v>
      </c>
      <c r="M501" s="78">
        <f t="shared" si="97"/>
        <v>545037.19999999995</v>
      </c>
      <c r="N501" s="78">
        <f t="shared" si="99"/>
        <v>272518.59999999998</v>
      </c>
      <c r="O501" s="78">
        <v>545037.19999999995</v>
      </c>
      <c r="P501" s="72">
        <v>539420</v>
      </c>
      <c r="Q501" s="256">
        <f t="shared" si="100"/>
        <v>118672.4</v>
      </c>
      <c r="R501" s="256">
        <f t="shared" si="101"/>
        <v>658092.4</v>
      </c>
      <c r="S501" s="296"/>
      <c r="T501" s="3">
        <v>26</v>
      </c>
      <c r="U501" s="293"/>
    </row>
    <row r="502" spans="1:21" ht="15" customHeight="1" x14ac:dyDescent="0.35">
      <c r="A502" s="218" t="s">
        <v>2779</v>
      </c>
      <c r="B502" s="3">
        <v>473</v>
      </c>
      <c r="C502" s="44">
        <v>10097930</v>
      </c>
      <c r="D502" s="18" t="s">
        <v>224</v>
      </c>
      <c r="E502" s="18" t="s">
        <v>2206</v>
      </c>
      <c r="F502" s="12">
        <v>1</v>
      </c>
      <c r="G502" s="3" t="s">
        <v>0</v>
      </c>
      <c r="H502" s="5">
        <v>42036</v>
      </c>
      <c r="I502" s="5" t="s">
        <v>2144</v>
      </c>
      <c r="J502" s="4" t="s">
        <v>1962</v>
      </c>
      <c r="K502" s="5" t="s">
        <v>988</v>
      </c>
      <c r="L502" s="6" t="s">
        <v>871</v>
      </c>
      <c r="M502" s="81">
        <f t="shared" si="97"/>
        <v>8803.44</v>
      </c>
      <c r="N502" s="81">
        <f t="shared" si="99"/>
        <v>8803.44</v>
      </c>
      <c r="O502" s="81">
        <v>8803.44</v>
      </c>
      <c r="P502" s="72">
        <v>8240</v>
      </c>
      <c r="Q502" s="256">
        <f t="shared" si="100"/>
        <v>1812.8</v>
      </c>
      <c r="R502" s="256">
        <f t="shared" si="101"/>
        <v>10052.799999999999</v>
      </c>
      <c r="S502" s="296"/>
      <c r="T502" s="3">
        <v>26</v>
      </c>
      <c r="U502" s="293"/>
    </row>
    <row r="503" spans="1:21" ht="15" customHeight="1" x14ac:dyDescent="0.35">
      <c r="A503" s="218" t="s">
        <v>2780</v>
      </c>
      <c r="B503" s="3">
        <v>474</v>
      </c>
      <c r="C503" s="44">
        <v>10015300</v>
      </c>
      <c r="D503" s="18" t="s">
        <v>1302</v>
      </c>
      <c r="E503" s="18" t="s">
        <v>2211</v>
      </c>
      <c r="F503" s="12">
        <v>1</v>
      </c>
      <c r="G503" s="3" t="s">
        <v>0</v>
      </c>
      <c r="H503" s="5">
        <v>42004</v>
      </c>
      <c r="I503" s="5" t="s">
        <v>2209</v>
      </c>
      <c r="J503" s="4" t="s">
        <v>1962</v>
      </c>
      <c r="K503" s="49" t="s">
        <v>988</v>
      </c>
      <c r="L503" s="6" t="s">
        <v>871</v>
      </c>
      <c r="M503" s="81">
        <f t="shared" si="97"/>
        <v>18872.580000000002</v>
      </c>
      <c r="N503" s="81">
        <f t="shared" si="99"/>
        <v>18872.580000000002</v>
      </c>
      <c r="O503" s="81">
        <v>18872.580000000002</v>
      </c>
      <c r="P503" s="72">
        <v>18000</v>
      </c>
      <c r="Q503" s="256">
        <f t="shared" si="100"/>
        <v>3960</v>
      </c>
      <c r="R503" s="256">
        <f t="shared" si="101"/>
        <v>21960</v>
      </c>
      <c r="S503" s="296"/>
      <c r="T503" s="3">
        <v>26</v>
      </c>
      <c r="U503" s="293"/>
    </row>
    <row r="504" spans="1:21" ht="15" customHeight="1" x14ac:dyDescent="0.35">
      <c r="A504" s="218" t="s">
        <v>2781</v>
      </c>
      <c r="B504" s="3">
        <v>475</v>
      </c>
      <c r="C504" s="44">
        <v>10124759</v>
      </c>
      <c r="D504" s="18" t="s">
        <v>47</v>
      </c>
      <c r="E504" s="18" t="s">
        <v>2027</v>
      </c>
      <c r="F504" s="12">
        <v>2</v>
      </c>
      <c r="G504" s="3" t="s">
        <v>28</v>
      </c>
      <c r="H504" s="49" t="s">
        <v>2195</v>
      </c>
      <c r="I504" s="27" t="s">
        <v>984</v>
      </c>
      <c r="J504" s="5" t="s">
        <v>1962</v>
      </c>
      <c r="K504" s="5" t="s">
        <v>988</v>
      </c>
      <c r="L504" s="29" t="s">
        <v>2143</v>
      </c>
      <c r="M504" s="78">
        <f t="shared" si="97"/>
        <v>290.95</v>
      </c>
      <c r="N504" s="78">
        <f t="shared" si="99"/>
        <v>145.47999999999999</v>
      </c>
      <c r="O504" s="78">
        <v>290.95</v>
      </c>
      <c r="P504" s="72">
        <v>310</v>
      </c>
      <c r="Q504" s="256">
        <f t="shared" si="100"/>
        <v>68.2</v>
      </c>
      <c r="R504" s="256">
        <f t="shared" si="101"/>
        <v>378.2</v>
      </c>
      <c r="S504" s="296"/>
      <c r="T504" s="3">
        <v>26</v>
      </c>
      <c r="U504" s="293"/>
    </row>
    <row r="505" spans="1:21" ht="29.25" customHeight="1" x14ac:dyDescent="0.35">
      <c r="A505" s="218" t="s">
        <v>2782</v>
      </c>
      <c r="B505" s="3">
        <v>476</v>
      </c>
      <c r="C505" s="44">
        <v>10097809</v>
      </c>
      <c r="D505" s="18" t="s">
        <v>18</v>
      </c>
      <c r="E505" s="18" t="s">
        <v>2027</v>
      </c>
      <c r="F505" s="12">
        <v>1</v>
      </c>
      <c r="G505" s="3" t="s">
        <v>0</v>
      </c>
      <c r="H505" s="5">
        <v>42262</v>
      </c>
      <c r="I505" s="27" t="s">
        <v>984</v>
      </c>
      <c r="J505" s="6" t="s">
        <v>2270</v>
      </c>
      <c r="K505" s="6" t="s">
        <v>2054</v>
      </c>
      <c r="L505" s="5" t="s">
        <v>2147</v>
      </c>
      <c r="M505" s="72">
        <f t="shared" si="97"/>
        <v>10976.09</v>
      </c>
      <c r="N505" s="72">
        <f t="shared" si="99"/>
        <v>10976.09</v>
      </c>
      <c r="O505" s="72">
        <v>10976.09</v>
      </c>
      <c r="P505" s="72">
        <v>14320</v>
      </c>
      <c r="Q505" s="256">
        <f t="shared" si="100"/>
        <v>3150.4</v>
      </c>
      <c r="R505" s="256">
        <f t="shared" si="101"/>
        <v>17470.400000000001</v>
      </c>
      <c r="S505" s="297"/>
      <c r="T505" s="3">
        <v>26</v>
      </c>
      <c r="U505" s="293"/>
    </row>
    <row r="506" spans="1:21" ht="15" customHeight="1" x14ac:dyDescent="0.35">
      <c r="A506" s="218"/>
      <c r="B506" s="94"/>
      <c r="C506" s="44"/>
      <c r="D506" s="18"/>
      <c r="E506" s="18"/>
      <c r="F506" s="12"/>
      <c r="G506" s="3"/>
      <c r="H506" s="5"/>
      <c r="I506" s="27"/>
      <c r="J506" s="6"/>
      <c r="K506" s="6"/>
      <c r="L506" s="5"/>
      <c r="M506" s="72"/>
      <c r="N506" s="72"/>
      <c r="O506" s="82">
        <f>SUM(O500:O505)</f>
        <v>750615.26</v>
      </c>
      <c r="P506" s="276">
        <f t="shared" ref="P506:Q506" si="102">SUM(P500:P505)</f>
        <v>758990</v>
      </c>
      <c r="Q506" s="282">
        <f t="shared" si="102"/>
        <v>166977.79999999999</v>
      </c>
      <c r="R506" s="282">
        <f>SUM(R500:R505)</f>
        <v>925967.8</v>
      </c>
      <c r="S506" s="286">
        <f>R506/100*10</f>
        <v>92596.78</v>
      </c>
      <c r="T506" s="104">
        <v>26</v>
      </c>
      <c r="U506" s="304"/>
    </row>
    <row r="507" spans="1:21" ht="15" customHeight="1" x14ac:dyDescent="0.35">
      <c r="A507" s="218" t="s">
        <v>2783</v>
      </c>
      <c r="B507" s="3">
        <v>477</v>
      </c>
      <c r="C507" s="44">
        <v>10070685</v>
      </c>
      <c r="D507" s="18" t="s">
        <v>1771</v>
      </c>
      <c r="E507" s="18" t="s">
        <v>2027</v>
      </c>
      <c r="F507" s="12">
        <v>3</v>
      </c>
      <c r="G507" s="3" t="s">
        <v>0</v>
      </c>
      <c r="H507" s="39">
        <v>41431</v>
      </c>
      <c r="I507" s="27" t="s">
        <v>984</v>
      </c>
      <c r="J507" s="4" t="s">
        <v>1962</v>
      </c>
      <c r="K507" s="4" t="s">
        <v>988</v>
      </c>
      <c r="L507" s="29" t="s">
        <v>977</v>
      </c>
      <c r="M507" s="78">
        <f t="shared" si="97"/>
        <v>74</v>
      </c>
      <c r="N507" s="78">
        <f>O507/F507</f>
        <v>24.67</v>
      </c>
      <c r="O507" s="78">
        <v>74</v>
      </c>
      <c r="P507" s="72">
        <v>140</v>
      </c>
      <c r="Q507" s="256">
        <f>R507-P507</f>
        <v>30.8</v>
      </c>
      <c r="R507" s="256">
        <f>P507*1.22</f>
        <v>170.8</v>
      </c>
      <c r="S507" s="283"/>
      <c r="T507" s="3">
        <v>27</v>
      </c>
      <c r="U507" s="292" t="s">
        <v>2318</v>
      </c>
    </row>
    <row r="508" spans="1:21" ht="15" customHeight="1" x14ac:dyDescent="0.35">
      <c r="A508" s="218"/>
      <c r="B508" s="94"/>
      <c r="C508" s="44"/>
      <c r="D508" s="18"/>
      <c r="E508" s="18"/>
      <c r="F508" s="12"/>
      <c r="G508" s="3"/>
      <c r="H508" s="39"/>
      <c r="I508" s="27"/>
      <c r="J508" s="4"/>
      <c r="K508" s="4"/>
      <c r="L508" s="29"/>
      <c r="M508" s="78"/>
      <c r="N508" s="78"/>
      <c r="O508" s="108">
        <f>O507</f>
        <v>74</v>
      </c>
      <c r="P508" s="276">
        <f t="shared" ref="P508:Q508" si="103">P507</f>
        <v>140</v>
      </c>
      <c r="Q508" s="282">
        <f t="shared" si="103"/>
        <v>30.8</v>
      </c>
      <c r="R508" s="282">
        <f>R507</f>
        <v>170.8</v>
      </c>
      <c r="S508" s="286">
        <f>R508/100*10</f>
        <v>17.079999999999998</v>
      </c>
      <c r="T508" s="104">
        <v>27</v>
      </c>
      <c r="U508" s="304"/>
    </row>
    <row r="509" spans="1:21" ht="37.5" customHeight="1" x14ac:dyDescent="0.35">
      <c r="A509" s="218" t="s">
        <v>2784</v>
      </c>
      <c r="B509" s="3">
        <v>478</v>
      </c>
      <c r="C509" s="44">
        <v>10093246</v>
      </c>
      <c r="D509" s="18" t="s">
        <v>1510</v>
      </c>
      <c r="E509" s="19" t="s">
        <v>2219</v>
      </c>
      <c r="F509" s="12">
        <v>24</v>
      </c>
      <c r="G509" s="3" t="s">
        <v>0</v>
      </c>
      <c r="H509" s="39">
        <v>41214</v>
      </c>
      <c r="I509" s="27" t="s">
        <v>984</v>
      </c>
      <c r="J509" s="4" t="s">
        <v>1962</v>
      </c>
      <c r="K509" s="4" t="s">
        <v>988</v>
      </c>
      <c r="L509" s="29" t="s">
        <v>977</v>
      </c>
      <c r="M509" s="78">
        <f t="shared" si="97"/>
        <v>925456.96</v>
      </c>
      <c r="N509" s="78">
        <f>O509/F509</f>
        <v>38560.71</v>
      </c>
      <c r="O509" s="78">
        <v>925456.96</v>
      </c>
      <c r="P509" s="72">
        <v>1929310</v>
      </c>
      <c r="Q509" s="256">
        <f>R509-P509</f>
        <v>424448.2</v>
      </c>
      <c r="R509" s="256">
        <f>P509*1.22</f>
        <v>2353758.2000000002</v>
      </c>
      <c r="S509" s="289"/>
      <c r="T509" s="3">
        <v>28</v>
      </c>
      <c r="U509" s="292" t="s">
        <v>2319</v>
      </c>
    </row>
    <row r="510" spans="1:21" ht="31.5" customHeight="1" x14ac:dyDescent="0.35">
      <c r="A510" s="218" t="s">
        <v>2785</v>
      </c>
      <c r="B510" s="3">
        <v>479</v>
      </c>
      <c r="C510" s="44">
        <v>102004254</v>
      </c>
      <c r="D510" s="18" t="s">
        <v>1514</v>
      </c>
      <c r="E510" s="19" t="s">
        <v>2219</v>
      </c>
      <c r="F510" s="12">
        <v>1</v>
      </c>
      <c r="G510" s="3" t="s">
        <v>0</v>
      </c>
      <c r="H510" s="39">
        <v>40837</v>
      </c>
      <c r="I510" s="27" t="s">
        <v>984</v>
      </c>
      <c r="J510" s="4" t="s">
        <v>2276</v>
      </c>
      <c r="K510" s="4" t="s">
        <v>988</v>
      </c>
      <c r="L510" s="29" t="s">
        <v>977</v>
      </c>
      <c r="M510" s="78">
        <f t="shared" si="97"/>
        <v>3182.02</v>
      </c>
      <c r="N510" s="78">
        <f>O510/F510</f>
        <v>3182.02</v>
      </c>
      <c r="O510" s="78">
        <v>3182.02</v>
      </c>
      <c r="P510" s="72">
        <v>5470</v>
      </c>
      <c r="Q510" s="256">
        <f>R510-P510</f>
        <v>1203.4000000000001</v>
      </c>
      <c r="R510" s="256">
        <f>P510*1.22</f>
        <v>6673.4</v>
      </c>
      <c r="S510" s="296"/>
      <c r="T510" s="3">
        <v>28</v>
      </c>
      <c r="U510" s="293"/>
    </row>
    <row r="511" spans="1:21" ht="27.75" customHeight="1" x14ac:dyDescent="0.35">
      <c r="A511" s="218" t="s">
        <v>2786</v>
      </c>
      <c r="B511" s="3">
        <v>480</v>
      </c>
      <c r="C511" s="44">
        <v>102001480</v>
      </c>
      <c r="D511" s="18" t="s">
        <v>1858</v>
      </c>
      <c r="E511" s="18" t="s">
        <v>2027</v>
      </c>
      <c r="F511" s="12">
        <v>1</v>
      </c>
      <c r="G511" s="3" t="s">
        <v>0</v>
      </c>
      <c r="H511" s="39">
        <v>42004</v>
      </c>
      <c r="I511" s="27" t="s">
        <v>984</v>
      </c>
      <c r="J511" s="4" t="s">
        <v>1962</v>
      </c>
      <c r="K511" s="4" t="s">
        <v>988</v>
      </c>
      <c r="L511" s="29" t="s">
        <v>977</v>
      </c>
      <c r="M511" s="78">
        <f t="shared" si="97"/>
        <v>67623.05</v>
      </c>
      <c r="N511" s="78">
        <f>O511/F511</f>
        <v>67623.05</v>
      </c>
      <c r="O511" s="78">
        <v>67623.05</v>
      </c>
      <c r="P511" s="72">
        <v>112100</v>
      </c>
      <c r="Q511" s="256">
        <f>R511-P511</f>
        <v>24662</v>
      </c>
      <c r="R511" s="256">
        <f>P511*1.22</f>
        <v>136762</v>
      </c>
      <c r="S511" s="297"/>
      <c r="T511" s="3">
        <v>28</v>
      </c>
      <c r="U511" s="293"/>
    </row>
    <row r="512" spans="1:21" ht="15" customHeight="1" x14ac:dyDescent="0.35">
      <c r="A512" s="218"/>
      <c r="B512" s="94"/>
      <c r="C512" s="44"/>
      <c r="D512" s="18"/>
      <c r="E512" s="18"/>
      <c r="F512" s="12"/>
      <c r="G512" s="3"/>
      <c r="H512" s="39"/>
      <c r="I512" s="27"/>
      <c r="J512" s="4"/>
      <c r="K512" s="4"/>
      <c r="L512" s="29"/>
      <c r="M512" s="78"/>
      <c r="N512" s="78"/>
      <c r="O512" s="108">
        <f>SUM(O509:O511)</f>
        <v>996262.03</v>
      </c>
      <c r="P512" s="276">
        <f t="shared" ref="P512:Q512" si="104">SUM(P509:P511)</f>
        <v>2046880</v>
      </c>
      <c r="Q512" s="282">
        <f t="shared" si="104"/>
        <v>450313.6</v>
      </c>
      <c r="R512" s="282">
        <f>SUM(R509:R511)</f>
        <v>2497193.6</v>
      </c>
      <c r="S512" s="286">
        <f>R512/100*10</f>
        <v>249719.36</v>
      </c>
      <c r="T512" s="104">
        <v>28</v>
      </c>
      <c r="U512" s="304"/>
    </row>
    <row r="513" spans="1:21" ht="27.75" customHeight="1" x14ac:dyDescent="0.35">
      <c r="A513" s="218" t="s">
        <v>2787</v>
      </c>
      <c r="B513" s="3">
        <v>481</v>
      </c>
      <c r="C513" s="44">
        <v>102000844</v>
      </c>
      <c r="D513" s="18" t="s">
        <v>319</v>
      </c>
      <c r="E513" s="18" t="s">
        <v>2197</v>
      </c>
      <c r="F513" s="12">
        <v>1</v>
      </c>
      <c r="G513" s="3" t="s">
        <v>0</v>
      </c>
      <c r="H513" s="49">
        <v>2010</v>
      </c>
      <c r="I513" s="5" t="s">
        <v>999</v>
      </c>
      <c r="J513" s="5" t="s">
        <v>986</v>
      </c>
      <c r="K513" s="5" t="s">
        <v>988</v>
      </c>
      <c r="L513" s="5" t="s">
        <v>871</v>
      </c>
      <c r="M513" s="72">
        <f t="shared" si="97"/>
        <v>58600</v>
      </c>
      <c r="N513" s="72">
        <f t="shared" ref="N513:N537" si="105">O513/F513</f>
        <v>58600</v>
      </c>
      <c r="O513" s="72">
        <v>58600</v>
      </c>
      <c r="P513" s="72">
        <v>43810</v>
      </c>
      <c r="Q513" s="256">
        <f t="shared" ref="Q513:Q537" si="106">R513-P513</f>
        <v>9638.2000000000007</v>
      </c>
      <c r="R513" s="256">
        <f t="shared" ref="R513:R537" si="107">P513*1.22</f>
        <v>53448.2</v>
      </c>
      <c r="S513" s="289"/>
      <c r="T513" s="3">
        <v>29</v>
      </c>
      <c r="U513" s="292" t="s">
        <v>2319</v>
      </c>
    </row>
    <row r="514" spans="1:21" ht="30" customHeight="1" x14ac:dyDescent="0.35">
      <c r="A514" s="218" t="s">
        <v>2788</v>
      </c>
      <c r="B514" s="3">
        <v>482</v>
      </c>
      <c r="C514" s="44">
        <v>102000893</v>
      </c>
      <c r="D514" s="18" t="s">
        <v>322</v>
      </c>
      <c r="E514" s="18" t="s">
        <v>2197</v>
      </c>
      <c r="F514" s="12">
        <v>1</v>
      </c>
      <c r="G514" s="3" t="s">
        <v>0</v>
      </c>
      <c r="H514" s="49" t="s">
        <v>2195</v>
      </c>
      <c r="I514" s="5" t="s">
        <v>999</v>
      </c>
      <c r="J514" s="5" t="s">
        <v>986</v>
      </c>
      <c r="K514" s="5" t="s">
        <v>988</v>
      </c>
      <c r="L514" s="5" t="s">
        <v>871</v>
      </c>
      <c r="M514" s="72">
        <f t="shared" si="97"/>
        <v>58600</v>
      </c>
      <c r="N514" s="72">
        <f t="shared" si="105"/>
        <v>58600</v>
      </c>
      <c r="O514" s="72">
        <v>58600</v>
      </c>
      <c r="P514" s="72">
        <v>24590</v>
      </c>
      <c r="Q514" s="256">
        <f t="shared" si="106"/>
        <v>5409.8</v>
      </c>
      <c r="R514" s="256">
        <f t="shared" si="107"/>
        <v>29999.8</v>
      </c>
      <c r="S514" s="296"/>
      <c r="T514" s="3">
        <v>29</v>
      </c>
      <c r="U514" s="293"/>
    </row>
    <row r="515" spans="1:21" ht="28.5" customHeight="1" x14ac:dyDescent="0.35">
      <c r="A515" s="218" t="s">
        <v>2789</v>
      </c>
      <c r="B515" s="3">
        <v>483</v>
      </c>
      <c r="C515" s="45">
        <v>102000203</v>
      </c>
      <c r="D515" s="15" t="s">
        <v>551</v>
      </c>
      <c r="E515" s="18" t="s">
        <v>2236</v>
      </c>
      <c r="F515" s="12">
        <v>1</v>
      </c>
      <c r="G515" s="3" t="s">
        <v>0</v>
      </c>
      <c r="H515" s="5">
        <v>42004</v>
      </c>
      <c r="I515" s="30" t="s">
        <v>1003</v>
      </c>
      <c r="J515" s="4" t="s">
        <v>1962</v>
      </c>
      <c r="K515" s="14" t="s">
        <v>724</v>
      </c>
      <c r="L515" s="3" t="s">
        <v>871</v>
      </c>
      <c r="M515" s="72">
        <f t="shared" si="97"/>
        <v>1185254</v>
      </c>
      <c r="N515" s="72">
        <f t="shared" si="105"/>
        <v>1185254</v>
      </c>
      <c r="O515" s="72">
        <v>1185254</v>
      </c>
      <c r="P515" s="72">
        <v>1280830</v>
      </c>
      <c r="Q515" s="256">
        <f t="shared" si="106"/>
        <v>281782.59999999998</v>
      </c>
      <c r="R515" s="256">
        <f t="shared" si="107"/>
        <v>1562612.6</v>
      </c>
      <c r="S515" s="296"/>
      <c r="T515" s="3">
        <v>29</v>
      </c>
      <c r="U515" s="293"/>
    </row>
    <row r="516" spans="1:21" ht="26.25" customHeight="1" x14ac:dyDescent="0.35">
      <c r="A516" s="218" t="s">
        <v>2790</v>
      </c>
      <c r="B516" s="3">
        <v>484</v>
      </c>
      <c r="C516" s="45">
        <v>10120756</v>
      </c>
      <c r="D516" s="2" t="s">
        <v>22</v>
      </c>
      <c r="E516" s="18" t="s">
        <v>2236</v>
      </c>
      <c r="F516" s="12">
        <v>1</v>
      </c>
      <c r="G516" s="3" t="s">
        <v>0</v>
      </c>
      <c r="H516" s="5">
        <v>42004</v>
      </c>
      <c r="I516" s="30" t="s">
        <v>1003</v>
      </c>
      <c r="J516" s="4" t="s">
        <v>1962</v>
      </c>
      <c r="K516" s="14" t="s">
        <v>776</v>
      </c>
      <c r="L516" s="3" t="s">
        <v>871</v>
      </c>
      <c r="M516" s="72">
        <f t="shared" si="97"/>
        <v>7979.69</v>
      </c>
      <c r="N516" s="72">
        <f t="shared" si="105"/>
        <v>7979.69</v>
      </c>
      <c r="O516" s="72">
        <v>7979.69</v>
      </c>
      <c r="P516" s="72">
        <v>7620</v>
      </c>
      <c r="Q516" s="256">
        <f t="shared" si="106"/>
        <v>1676.4</v>
      </c>
      <c r="R516" s="256">
        <f t="shared" si="107"/>
        <v>9296.4</v>
      </c>
      <c r="S516" s="296"/>
      <c r="T516" s="3">
        <v>29</v>
      </c>
      <c r="U516" s="293"/>
    </row>
    <row r="517" spans="1:21" ht="24.75" customHeight="1" x14ac:dyDescent="0.35">
      <c r="A517" s="218" t="s">
        <v>2791</v>
      </c>
      <c r="B517" s="3">
        <v>485</v>
      </c>
      <c r="C517" s="45">
        <v>10120757</v>
      </c>
      <c r="D517" s="2" t="s">
        <v>627</v>
      </c>
      <c r="E517" s="18" t="s">
        <v>2236</v>
      </c>
      <c r="F517" s="12">
        <v>1</v>
      </c>
      <c r="G517" s="3" t="s">
        <v>0</v>
      </c>
      <c r="H517" s="5">
        <v>42004</v>
      </c>
      <c r="I517" s="30" t="s">
        <v>1003</v>
      </c>
      <c r="J517" s="4" t="s">
        <v>1962</v>
      </c>
      <c r="K517" s="14" t="s">
        <v>777</v>
      </c>
      <c r="L517" s="3" t="s">
        <v>871</v>
      </c>
      <c r="M517" s="72">
        <f t="shared" si="97"/>
        <v>8016.42</v>
      </c>
      <c r="N517" s="72">
        <f t="shared" si="105"/>
        <v>8016.42</v>
      </c>
      <c r="O517" s="72">
        <v>8016.42</v>
      </c>
      <c r="P517" s="72">
        <v>7650</v>
      </c>
      <c r="Q517" s="256">
        <f t="shared" si="106"/>
        <v>1683</v>
      </c>
      <c r="R517" s="256">
        <f t="shared" si="107"/>
        <v>9333</v>
      </c>
      <c r="S517" s="296"/>
      <c r="T517" s="3">
        <v>29</v>
      </c>
      <c r="U517" s="293"/>
    </row>
    <row r="518" spans="1:21" ht="27.75" customHeight="1" x14ac:dyDescent="0.35">
      <c r="A518" s="218" t="s">
        <v>2792</v>
      </c>
      <c r="B518" s="3">
        <v>486</v>
      </c>
      <c r="C518" s="45">
        <v>10120768</v>
      </c>
      <c r="D518" s="2" t="s">
        <v>23</v>
      </c>
      <c r="E518" s="18" t="s">
        <v>2236</v>
      </c>
      <c r="F518" s="12">
        <v>1</v>
      </c>
      <c r="G518" s="3" t="s">
        <v>0</v>
      </c>
      <c r="H518" s="5">
        <v>42004</v>
      </c>
      <c r="I518" s="30" t="s">
        <v>1003</v>
      </c>
      <c r="J518" s="4" t="s">
        <v>1962</v>
      </c>
      <c r="K518" s="14" t="s">
        <v>778</v>
      </c>
      <c r="L518" s="3" t="s">
        <v>871</v>
      </c>
      <c r="M518" s="72">
        <f t="shared" si="97"/>
        <v>4945.18</v>
      </c>
      <c r="N518" s="72">
        <f t="shared" si="105"/>
        <v>4945.18</v>
      </c>
      <c r="O518" s="72">
        <v>4945.18</v>
      </c>
      <c r="P518" s="72">
        <v>4720</v>
      </c>
      <c r="Q518" s="256">
        <f t="shared" si="106"/>
        <v>1038.4000000000001</v>
      </c>
      <c r="R518" s="256">
        <f t="shared" si="107"/>
        <v>5758.4</v>
      </c>
      <c r="S518" s="296"/>
      <c r="T518" s="3">
        <v>29</v>
      </c>
      <c r="U518" s="293"/>
    </row>
    <row r="519" spans="1:21" ht="24.75" customHeight="1" x14ac:dyDescent="0.35">
      <c r="A519" s="218" t="s">
        <v>2793</v>
      </c>
      <c r="B519" s="3">
        <v>487</v>
      </c>
      <c r="C519" s="45">
        <v>10120769</v>
      </c>
      <c r="D519" s="2" t="s">
        <v>24</v>
      </c>
      <c r="E519" s="18" t="s">
        <v>2236</v>
      </c>
      <c r="F519" s="12">
        <v>1</v>
      </c>
      <c r="G519" s="3" t="s">
        <v>0</v>
      </c>
      <c r="H519" s="5">
        <v>42004</v>
      </c>
      <c r="I519" s="30" t="s">
        <v>1003</v>
      </c>
      <c r="J519" s="4" t="s">
        <v>1962</v>
      </c>
      <c r="K519" s="14" t="s">
        <v>277</v>
      </c>
      <c r="L519" s="3" t="s">
        <v>871</v>
      </c>
      <c r="M519" s="72">
        <f t="shared" si="97"/>
        <v>4912.3599999999997</v>
      </c>
      <c r="N519" s="72">
        <f t="shared" si="105"/>
        <v>4912.3599999999997</v>
      </c>
      <c r="O519" s="72">
        <v>4912.3599999999997</v>
      </c>
      <c r="P519" s="72">
        <v>4690</v>
      </c>
      <c r="Q519" s="256">
        <f t="shared" si="106"/>
        <v>1031.8</v>
      </c>
      <c r="R519" s="256">
        <f t="shared" si="107"/>
        <v>5721.8</v>
      </c>
      <c r="S519" s="296"/>
      <c r="T519" s="3">
        <v>29</v>
      </c>
      <c r="U519" s="293"/>
    </row>
    <row r="520" spans="1:21" ht="22.5" customHeight="1" x14ac:dyDescent="0.35">
      <c r="A520" s="218" t="s">
        <v>2794</v>
      </c>
      <c r="B520" s="3">
        <v>488</v>
      </c>
      <c r="C520" s="45">
        <v>10042151</v>
      </c>
      <c r="D520" s="2" t="s">
        <v>666</v>
      </c>
      <c r="E520" s="18" t="s">
        <v>2236</v>
      </c>
      <c r="F520" s="12">
        <v>1</v>
      </c>
      <c r="G520" s="3" t="s">
        <v>0</v>
      </c>
      <c r="H520" s="5">
        <v>42004</v>
      </c>
      <c r="I520" s="30" t="s">
        <v>1003</v>
      </c>
      <c r="J520" s="4" t="s">
        <v>1962</v>
      </c>
      <c r="K520" s="14" t="s">
        <v>797</v>
      </c>
      <c r="L520" s="3" t="s">
        <v>871</v>
      </c>
      <c r="M520" s="72">
        <f t="shared" si="97"/>
        <v>3230</v>
      </c>
      <c r="N520" s="72">
        <f t="shared" si="105"/>
        <v>3230</v>
      </c>
      <c r="O520" s="72">
        <v>3230</v>
      </c>
      <c r="P520" s="72">
        <v>3080</v>
      </c>
      <c r="Q520" s="256">
        <f t="shared" si="106"/>
        <v>677.6</v>
      </c>
      <c r="R520" s="256">
        <f t="shared" si="107"/>
        <v>3757.6</v>
      </c>
      <c r="S520" s="296"/>
      <c r="T520" s="3">
        <v>29</v>
      </c>
      <c r="U520" s="293"/>
    </row>
    <row r="521" spans="1:21" ht="26.25" customHeight="1" x14ac:dyDescent="0.35">
      <c r="A521" s="218" t="s">
        <v>2795</v>
      </c>
      <c r="B521" s="3">
        <v>489</v>
      </c>
      <c r="C521" s="45">
        <v>10105556</v>
      </c>
      <c r="D521" s="2" t="s">
        <v>19</v>
      </c>
      <c r="E521" s="18" t="s">
        <v>2236</v>
      </c>
      <c r="F521" s="12">
        <v>1</v>
      </c>
      <c r="G521" s="3" t="s">
        <v>0</v>
      </c>
      <c r="H521" s="5">
        <v>42004</v>
      </c>
      <c r="I521" s="30" t="s">
        <v>1003</v>
      </c>
      <c r="J521" s="4" t="s">
        <v>1962</v>
      </c>
      <c r="K521" s="14" t="s">
        <v>803</v>
      </c>
      <c r="L521" s="3" t="s">
        <v>871</v>
      </c>
      <c r="M521" s="72">
        <f t="shared" si="97"/>
        <v>37057</v>
      </c>
      <c r="N521" s="72">
        <f t="shared" si="105"/>
        <v>37057</v>
      </c>
      <c r="O521" s="72">
        <v>37057</v>
      </c>
      <c r="P521" s="72">
        <v>36140</v>
      </c>
      <c r="Q521" s="256">
        <f t="shared" si="106"/>
        <v>7950.8</v>
      </c>
      <c r="R521" s="256">
        <f t="shared" si="107"/>
        <v>44090.8</v>
      </c>
      <c r="S521" s="296"/>
      <c r="T521" s="3">
        <v>29</v>
      </c>
      <c r="U521" s="293"/>
    </row>
    <row r="522" spans="1:21" ht="32.25" customHeight="1" x14ac:dyDescent="0.35">
      <c r="A522" s="218" t="s">
        <v>2796</v>
      </c>
      <c r="B522" s="3">
        <v>490</v>
      </c>
      <c r="C522" s="45">
        <v>10057332</v>
      </c>
      <c r="D522" s="2" t="s">
        <v>681</v>
      </c>
      <c r="E522" s="18" t="s">
        <v>2236</v>
      </c>
      <c r="F522" s="12">
        <v>1</v>
      </c>
      <c r="G522" s="3" t="s">
        <v>0</v>
      </c>
      <c r="H522" s="5">
        <v>42004</v>
      </c>
      <c r="I522" s="30" t="s">
        <v>1003</v>
      </c>
      <c r="J522" s="4" t="s">
        <v>1962</v>
      </c>
      <c r="K522" s="14" t="s">
        <v>804</v>
      </c>
      <c r="L522" s="3" t="s">
        <v>871</v>
      </c>
      <c r="M522" s="72">
        <f t="shared" si="97"/>
        <v>11244</v>
      </c>
      <c r="N522" s="72">
        <f t="shared" si="105"/>
        <v>11244</v>
      </c>
      <c r="O522" s="72">
        <v>11244</v>
      </c>
      <c r="P522" s="72">
        <v>10960</v>
      </c>
      <c r="Q522" s="256">
        <f t="shared" si="106"/>
        <v>2411.1999999999998</v>
      </c>
      <c r="R522" s="256">
        <f t="shared" si="107"/>
        <v>13371.2</v>
      </c>
      <c r="S522" s="296"/>
      <c r="T522" s="3">
        <v>29</v>
      </c>
      <c r="U522" s="293"/>
    </row>
    <row r="523" spans="1:21" ht="24.75" customHeight="1" x14ac:dyDescent="0.35">
      <c r="A523" s="218" t="s">
        <v>2797</v>
      </c>
      <c r="B523" s="3">
        <v>491</v>
      </c>
      <c r="C523" s="45">
        <v>102002110</v>
      </c>
      <c r="D523" s="15" t="s">
        <v>702</v>
      </c>
      <c r="E523" s="18" t="s">
        <v>2236</v>
      </c>
      <c r="F523" s="12">
        <v>1</v>
      </c>
      <c r="G523" s="3" t="s">
        <v>0</v>
      </c>
      <c r="H523" s="5">
        <v>42004</v>
      </c>
      <c r="I523" s="30" t="s">
        <v>1003</v>
      </c>
      <c r="J523" s="4" t="s">
        <v>1962</v>
      </c>
      <c r="K523" s="14" t="s">
        <v>814</v>
      </c>
      <c r="L523" s="3" t="s">
        <v>871</v>
      </c>
      <c r="M523" s="72">
        <f t="shared" si="97"/>
        <v>167208</v>
      </c>
      <c r="N523" s="72">
        <f t="shared" si="105"/>
        <v>167208</v>
      </c>
      <c r="O523" s="72">
        <v>167208</v>
      </c>
      <c r="P523" s="72">
        <v>159630</v>
      </c>
      <c r="Q523" s="256">
        <f t="shared" si="106"/>
        <v>35118.6</v>
      </c>
      <c r="R523" s="256">
        <f t="shared" si="107"/>
        <v>194748.6</v>
      </c>
      <c r="S523" s="296"/>
      <c r="T523" s="3">
        <v>29</v>
      </c>
      <c r="U523" s="293"/>
    </row>
    <row r="524" spans="1:21" ht="24" customHeight="1" x14ac:dyDescent="0.35">
      <c r="A524" s="218" t="s">
        <v>2798</v>
      </c>
      <c r="B524" s="3">
        <v>492</v>
      </c>
      <c r="C524" s="58">
        <v>102000721</v>
      </c>
      <c r="D524" s="21" t="s">
        <v>895</v>
      </c>
      <c r="E524" s="18" t="s">
        <v>2197</v>
      </c>
      <c r="F524" s="7">
        <v>1</v>
      </c>
      <c r="G524" s="3" t="s">
        <v>0</v>
      </c>
      <c r="H524" s="50" t="s">
        <v>2195</v>
      </c>
      <c r="I524" s="4" t="s">
        <v>999</v>
      </c>
      <c r="J524" s="31" t="s">
        <v>986</v>
      </c>
      <c r="K524" s="4" t="s">
        <v>988</v>
      </c>
      <c r="L524" s="5" t="s">
        <v>871</v>
      </c>
      <c r="M524" s="72">
        <f t="shared" si="97"/>
        <v>61800</v>
      </c>
      <c r="N524" s="72">
        <f t="shared" si="105"/>
        <v>61800</v>
      </c>
      <c r="O524" s="72">
        <v>61800</v>
      </c>
      <c r="P524" s="72">
        <v>46200</v>
      </c>
      <c r="Q524" s="256">
        <f t="shared" si="106"/>
        <v>10164</v>
      </c>
      <c r="R524" s="256">
        <f t="shared" si="107"/>
        <v>56364</v>
      </c>
      <c r="S524" s="296"/>
      <c r="T524" s="3">
        <v>29</v>
      </c>
      <c r="U524" s="293"/>
    </row>
    <row r="525" spans="1:21" ht="26.25" customHeight="1" x14ac:dyDescent="0.35">
      <c r="A525" s="218" t="s">
        <v>2799</v>
      </c>
      <c r="B525" s="3">
        <v>493</v>
      </c>
      <c r="C525" s="58">
        <v>102001431</v>
      </c>
      <c r="D525" s="21" t="s">
        <v>896</v>
      </c>
      <c r="E525" s="18" t="s">
        <v>2197</v>
      </c>
      <c r="F525" s="22">
        <v>2</v>
      </c>
      <c r="G525" s="3" t="s">
        <v>0</v>
      </c>
      <c r="H525" s="50" t="s">
        <v>2195</v>
      </c>
      <c r="I525" s="4" t="s">
        <v>999</v>
      </c>
      <c r="J525" s="31" t="s">
        <v>986</v>
      </c>
      <c r="K525" s="4" t="s">
        <v>988</v>
      </c>
      <c r="L525" s="5" t="s">
        <v>871</v>
      </c>
      <c r="M525" s="72">
        <f t="shared" si="97"/>
        <v>340020</v>
      </c>
      <c r="N525" s="72">
        <f t="shared" si="105"/>
        <v>170010</v>
      </c>
      <c r="O525" s="72">
        <v>340020</v>
      </c>
      <c r="P525" s="72">
        <v>254200</v>
      </c>
      <c r="Q525" s="256">
        <f t="shared" si="106"/>
        <v>55924</v>
      </c>
      <c r="R525" s="256">
        <f t="shared" si="107"/>
        <v>310124</v>
      </c>
      <c r="S525" s="296"/>
      <c r="T525" s="3">
        <v>29</v>
      </c>
      <c r="U525" s="293"/>
    </row>
    <row r="526" spans="1:21" ht="35.25" customHeight="1" x14ac:dyDescent="0.35">
      <c r="A526" s="218" t="s">
        <v>2800</v>
      </c>
      <c r="B526" s="3">
        <v>494</v>
      </c>
      <c r="C526" s="58">
        <v>102001136</v>
      </c>
      <c r="D526" s="21" t="s">
        <v>897</v>
      </c>
      <c r="E526" s="18" t="s">
        <v>2197</v>
      </c>
      <c r="F526" s="7">
        <v>1</v>
      </c>
      <c r="G526" s="3" t="s">
        <v>0</v>
      </c>
      <c r="H526" s="50" t="s">
        <v>2195</v>
      </c>
      <c r="I526" s="4" t="s">
        <v>999</v>
      </c>
      <c r="J526" s="31" t="s">
        <v>986</v>
      </c>
      <c r="K526" s="4" t="s">
        <v>988</v>
      </c>
      <c r="L526" s="5" t="s">
        <v>871</v>
      </c>
      <c r="M526" s="72">
        <f t="shared" si="97"/>
        <v>54540</v>
      </c>
      <c r="N526" s="72">
        <f t="shared" si="105"/>
        <v>54540</v>
      </c>
      <c r="O526" s="72">
        <v>54540</v>
      </c>
      <c r="P526" s="72">
        <v>40770</v>
      </c>
      <c r="Q526" s="256">
        <f t="shared" si="106"/>
        <v>8969.4</v>
      </c>
      <c r="R526" s="256">
        <f t="shared" si="107"/>
        <v>49739.4</v>
      </c>
      <c r="S526" s="296"/>
      <c r="T526" s="3">
        <v>29</v>
      </c>
      <c r="U526" s="293"/>
    </row>
    <row r="527" spans="1:21" ht="36" customHeight="1" x14ac:dyDescent="0.35">
      <c r="A527" s="218" t="s">
        <v>2801</v>
      </c>
      <c r="B527" s="3">
        <v>495</v>
      </c>
      <c r="C527" s="58">
        <v>102000690</v>
      </c>
      <c r="D527" s="21" t="s">
        <v>898</v>
      </c>
      <c r="E527" s="18" t="s">
        <v>2197</v>
      </c>
      <c r="F527" s="7">
        <v>1</v>
      </c>
      <c r="G527" s="3" t="s">
        <v>0</v>
      </c>
      <c r="H527" s="50" t="s">
        <v>2195</v>
      </c>
      <c r="I527" s="4" t="s">
        <v>999</v>
      </c>
      <c r="J527" s="31" t="s">
        <v>986</v>
      </c>
      <c r="K527" s="4" t="s">
        <v>988</v>
      </c>
      <c r="L527" s="5" t="s">
        <v>871</v>
      </c>
      <c r="M527" s="72">
        <f t="shared" si="97"/>
        <v>54540</v>
      </c>
      <c r="N527" s="72">
        <f t="shared" si="105"/>
        <v>54540</v>
      </c>
      <c r="O527" s="72">
        <v>54540</v>
      </c>
      <c r="P527" s="72">
        <v>40770</v>
      </c>
      <c r="Q527" s="256">
        <f t="shared" si="106"/>
        <v>8969.4</v>
      </c>
      <c r="R527" s="256">
        <f t="shared" si="107"/>
        <v>49739.4</v>
      </c>
      <c r="S527" s="296"/>
      <c r="T527" s="3">
        <v>29</v>
      </c>
      <c r="U527" s="293"/>
    </row>
    <row r="528" spans="1:21" ht="22.5" customHeight="1" x14ac:dyDescent="0.35">
      <c r="A528" s="218" t="s">
        <v>2802</v>
      </c>
      <c r="B528" s="3">
        <v>496</v>
      </c>
      <c r="C528" s="58">
        <v>102000768</v>
      </c>
      <c r="D528" s="21" t="s">
        <v>899</v>
      </c>
      <c r="E528" s="18" t="s">
        <v>2197</v>
      </c>
      <c r="F528" s="7">
        <v>1</v>
      </c>
      <c r="G528" s="3" t="s">
        <v>0</v>
      </c>
      <c r="H528" s="50" t="s">
        <v>2195</v>
      </c>
      <c r="I528" s="4" t="s">
        <v>999</v>
      </c>
      <c r="J528" s="4" t="s">
        <v>1962</v>
      </c>
      <c r="K528" s="4" t="s">
        <v>988</v>
      </c>
      <c r="L528" s="5" t="s">
        <v>871</v>
      </c>
      <c r="M528" s="72">
        <f t="shared" si="97"/>
        <v>58483.360000000001</v>
      </c>
      <c r="N528" s="72">
        <f t="shared" si="105"/>
        <v>58483.360000000001</v>
      </c>
      <c r="O528" s="72">
        <v>58483.360000000001</v>
      </c>
      <c r="P528" s="72">
        <v>43720</v>
      </c>
      <c r="Q528" s="256">
        <f t="shared" si="106"/>
        <v>9618.4</v>
      </c>
      <c r="R528" s="256">
        <f t="shared" si="107"/>
        <v>53338.400000000001</v>
      </c>
      <c r="S528" s="296"/>
      <c r="T528" s="3">
        <v>29</v>
      </c>
      <c r="U528" s="293"/>
    </row>
    <row r="529" spans="1:21" ht="27.75" customHeight="1" x14ac:dyDescent="0.35">
      <c r="A529" s="218" t="s">
        <v>2803</v>
      </c>
      <c r="B529" s="3">
        <v>497</v>
      </c>
      <c r="C529" s="58">
        <v>102000957</v>
      </c>
      <c r="D529" s="21" t="s">
        <v>900</v>
      </c>
      <c r="E529" s="18" t="s">
        <v>2197</v>
      </c>
      <c r="F529" s="7">
        <v>1</v>
      </c>
      <c r="G529" s="3" t="s">
        <v>0</v>
      </c>
      <c r="H529" s="50" t="s">
        <v>2195</v>
      </c>
      <c r="I529" s="4" t="s">
        <v>999</v>
      </c>
      <c r="J529" s="4" t="s">
        <v>1962</v>
      </c>
      <c r="K529" s="4" t="s">
        <v>988</v>
      </c>
      <c r="L529" s="5" t="s">
        <v>871</v>
      </c>
      <c r="M529" s="72">
        <f t="shared" si="97"/>
        <v>55645.34</v>
      </c>
      <c r="N529" s="72">
        <f t="shared" si="105"/>
        <v>55645.34</v>
      </c>
      <c r="O529" s="72">
        <v>55645.34</v>
      </c>
      <c r="P529" s="72">
        <v>41600</v>
      </c>
      <c r="Q529" s="256">
        <f t="shared" si="106"/>
        <v>9152</v>
      </c>
      <c r="R529" s="256">
        <f t="shared" si="107"/>
        <v>50752</v>
      </c>
      <c r="S529" s="296"/>
      <c r="T529" s="3">
        <v>29</v>
      </c>
      <c r="U529" s="293"/>
    </row>
    <row r="530" spans="1:21" ht="40.5" customHeight="1" x14ac:dyDescent="0.35">
      <c r="A530" s="218" t="s">
        <v>2804</v>
      </c>
      <c r="B530" s="3">
        <v>498</v>
      </c>
      <c r="C530" s="58">
        <v>102000902</v>
      </c>
      <c r="D530" s="21" t="s">
        <v>901</v>
      </c>
      <c r="E530" s="18" t="s">
        <v>2197</v>
      </c>
      <c r="F530" s="7">
        <v>1</v>
      </c>
      <c r="G530" s="3" t="s">
        <v>0</v>
      </c>
      <c r="H530" s="50" t="s">
        <v>2195</v>
      </c>
      <c r="I530" s="4" t="s">
        <v>999</v>
      </c>
      <c r="J530" s="4" t="s">
        <v>1962</v>
      </c>
      <c r="K530" s="4" t="s">
        <v>988</v>
      </c>
      <c r="L530" s="5" t="s">
        <v>871</v>
      </c>
      <c r="M530" s="72">
        <f t="shared" si="97"/>
        <v>57083.66</v>
      </c>
      <c r="N530" s="72">
        <f t="shared" si="105"/>
        <v>57083.66</v>
      </c>
      <c r="O530" s="72">
        <v>57083.66</v>
      </c>
      <c r="P530" s="72">
        <v>42680</v>
      </c>
      <c r="Q530" s="256">
        <f t="shared" si="106"/>
        <v>9389.6</v>
      </c>
      <c r="R530" s="256">
        <f t="shared" si="107"/>
        <v>52069.599999999999</v>
      </c>
      <c r="S530" s="296"/>
      <c r="T530" s="3">
        <v>29</v>
      </c>
      <c r="U530" s="293"/>
    </row>
    <row r="531" spans="1:21" ht="30" customHeight="1" x14ac:dyDescent="0.35">
      <c r="A531" s="218" t="s">
        <v>2805</v>
      </c>
      <c r="B531" s="3">
        <v>499</v>
      </c>
      <c r="C531" s="58">
        <v>102000725</v>
      </c>
      <c r="D531" s="21" t="s">
        <v>902</v>
      </c>
      <c r="E531" s="18" t="s">
        <v>2197</v>
      </c>
      <c r="F531" s="7">
        <v>1</v>
      </c>
      <c r="G531" s="3" t="s">
        <v>0</v>
      </c>
      <c r="H531" s="50" t="s">
        <v>2195</v>
      </c>
      <c r="I531" s="4" t="s">
        <v>999</v>
      </c>
      <c r="J531" s="4" t="s">
        <v>1962</v>
      </c>
      <c r="K531" s="4" t="s">
        <v>988</v>
      </c>
      <c r="L531" s="5" t="s">
        <v>871</v>
      </c>
      <c r="M531" s="72">
        <f t="shared" si="97"/>
        <v>57324.81</v>
      </c>
      <c r="N531" s="72">
        <f t="shared" si="105"/>
        <v>57324.81</v>
      </c>
      <c r="O531" s="72">
        <v>57324.81</v>
      </c>
      <c r="P531" s="72">
        <v>42860</v>
      </c>
      <c r="Q531" s="256">
        <f t="shared" si="106"/>
        <v>9429.2000000000007</v>
      </c>
      <c r="R531" s="256">
        <f t="shared" si="107"/>
        <v>52289.2</v>
      </c>
      <c r="S531" s="296"/>
      <c r="T531" s="3">
        <v>29</v>
      </c>
      <c r="U531" s="293"/>
    </row>
    <row r="532" spans="1:21" ht="16.5" customHeight="1" x14ac:dyDescent="0.35">
      <c r="A532" s="218" t="s">
        <v>2806</v>
      </c>
      <c r="B532" s="3">
        <v>500</v>
      </c>
      <c r="C532" s="58">
        <v>102000822</v>
      </c>
      <c r="D532" s="21" t="s">
        <v>903</v>
      </c>
      <c r="E532" s="18" t="s">
        <v>2197</v>
      </c>
      <c r="F532" s="7">
        <v>1</v>
      </c>
      <c r="G532" s="3" t="s">
        <v>0</v>
      </c>
      <c r="H532" s="50" t="s">
        <v>2195</v>
      </c>
      <c r="I532" s="4" t="s">
        <v>999</v>
      </c>
      <c r="J532" s="4" t="s">
        <v>1962</v>
      </c>
      <c r="K532" s="4" t="s">
        <v>988</v>
      </c>
      <c r="L532" s="5" t="s">
        <v>871</v>
      </c>
      <c r="M532" s="72">
        <f t="shared" si="97"/>
        <v>55484.49</v>
      </c>
      <c r="N532" s="72">
        <f t="shared" si="105"/>
        <v>55484.49</v>
      </c>
      <c r="O532" s="72">
        <v>55484.49</v>
      </c>
      <c r="P532" s="72">
        <v>41480</v>
      </c>
      <c r="Q532" s="256">
        <f t="shared" si="106"/>
        <v>9125.6</v>
      </c>
      <c r="R532" s="256">
        <f t="shared" si="107"/>
        <v>50605.599999999999</v>
      </c>
      <c r="S532" s="296"/>
      <c r="T532" s="3">
        <v>29</v>
      </c>
      <c r="U532" s="293"/>
    </row>
    <row r="533" spans="1:21" ht="35.25" customHeight="1" x14ac:dyDescent="0.35">
      <c r="A533" s="218" t="s">
        <v>2807</v>
      </c>
      <c r="B533" s="3">
        <v>501</v>
      </c>
      <c r="C533" s="58">
        <v>102001471</v>
      </c>
      <c r="D533" s="21" t="s">
        <v>904</v>
      </c>
      <c r="E533" s="18" t="s">
        <v>2197</v>
      </c>
      <c r="F533" s="7">
        <v>1</v>
      </c>
      <c r="G533" s="3" t="s">
        <v>0</v>
      </c>
      <c r="H533" s="50" t="s">
        <v>2195</v>
      </c>
      <c r="I533" s="4" t="s">
        <v>999</v>
      </c>
      <c r="J533" s="4" t="s">
        <v>1962</v>
      </c>
      <c r="K533" s="4" t="s">
        <v>988</v>
      </c>
      <c r="L533" s="5" t="s">
        <v>871</v>
      </c>
      <c r="M533" s="72">
        <f t="shared" si="97"/>
        <v>15552.98</v>
      </c>
      <c r="N533" s="72">
        <f t="shared" si="105"/>
        <v>15552.98</v>
      </c>
      <c r="O533" s="72">
        <v>15552.98</v>
      </c>
      <c r="P533" s="72">
        <v>11630</v>
      </c>
      <c r="Q533" s="256">
        <f t="shared" si="106"/>
        <v>2558.6</v>
      </c>
      <c r="R533" s="256">
        <f t="shared" si="107"/>
        <v>14188.6</v>
      </c>
      <c r="S533" s="296"/>
      <c r="T533" s="3">
        <v>29</v>
      </c>
      <c r="U533" s="293"/>
    </row>
    <row r="534" spans="1:21" ht="30" customHeight="1" x14ac:dyDescent="0.35">
      <c r="A534" s="218" t="s">
        <v>2808</v>
      </c>
      <c r="B534" s="3">
        <v>502</v>
      </c>
      <c r="C534" s="44">
        <v>10105556</v>
      </c>
      <c r="D534" s="18" t="s">
        <v>19</v>
      </c>
      <c r="E534" s="19" t="s">
        <v>2219</v>
      </c>
      <c r="F534" s="12">
        <v>1</v>
      </c>
      <c r="G534" s="3" t="s">
        <v>0</v>
      </c>
      <c r="H534" s="5">
        <v>41431</v>
      </c>
      <c r="I534" s="27" t="s">
        <v>984</v>
      </c>
      <c r="J534" s="4" t="s">
        <v>1962</v>
      </c>
      <c r="K534" s="5" t="s">
        <v>847</v>
      </c>
      <c r="L534" s="5" t="s">
        <v>2147</v>
      </c>
      <c r="M534" s="72">
        <f t="shared" si="97"/>
        <v>14196.75</v>
      </c>
      <c r="N534" s="72">
        <f t="shared" si="105"/>
        <v>14196.75</v>
      </c>
      <c r="O534" s="72">
        <v>14196.75</v>
      </c>
      <c r="P534" s="72">
        <v>20070</v>
      </c>
      <c r="Q534" s="256">
        <f t="shared" si="106"/>
        <v>4415.3999999999996</v>
      </c>
      <c r="R534" s="256">
        <f t="shared" si="107"/>
        <v>24485.4</v>
      </c>
      <c r="S534" s="296"/>
      <c r="T534" s="3">
        <v>29</v>
      </c>
      <c r="U534" s="293"/>
    </row>
    <row r="535" spans="1:21" ht="30" customHeight="1" x14ac:dyDescent="0.35">
      <c r="A535" s="218" t="s">
        <v>2809</v>
      </c>
      <c r="B535" s="3">
        <v>503</v>
      </c>
      <c r="C535" s="44">
        <v>10120756</v>
      </c>
      <c r="D535" s="18" t="s">
        <v>22</v>
      </c>
      <c r="E535" s="19" t="s">
        <v>2219</v>
      </c>
      <c r="F535" s="12">
        <v>1</v>
      </c>
      <c r="G535" s="3" t="s">
        <v>0</v>
      </c>
      <c r="H535" s="5">
        <v>42004</v>
      </c>
      <c r="I535" s="27" t="s">
        <v>984</v>
      </c>
      <c r="J535" s="4" t="s">
        <v>1962</v>
      </c>
      <c r="K535" s="5" t="s">
        <v>790</v>
      </c>
      <c r="L535" s="5" t="s">
        <v>2147</v>
      </c>
      <c r="M535" s="72">
        <f t="shared" si="97"/>
        <v>8035.57</v>
      </c>
      <c r="N535" s="72">
        <f t="shared" si="105"/>
        <v>8035.57</v>
      </c>
      <c r="O535" s="72">
        <v>8035.57</v>
      </c>
      <c r="P535" s="72">
        <v>11120</v>
      </c>
      <c r="Q535" s="256">
        <f t="shared" si="106"/>
        <v>2446.4</v>
      </c>
      <c r="R535" s="256">
        <f t="shared" si="107"/>
        <v>13566.4</v>
      </c>
      <c r="S535" s="296"/>
      <c r="T535" s="3">
        <v>29</v>
      </c>
      <c r="U535" s="293"/>
    </row>
    <row r="536" spans="1:21" ht="30" customHeight="1" x14ac:dyDescent="0.35">
      <c r="A536" s="218" t="s">
        <v>2810</v>
      </c>
      <c r="B536" s="3">
        <v>504</v>
      </c>
      <c r="C536" s="44">
        <v>10120768</v>
      </c>
      <c r="D536" s="18" t="s">
        <v>23</v>
      </c>
      <c r="E536" s="19" t="s">
        <v>2219</v>
      </c>
      <c r="F536" s="12">
        <v>1</v>
      </c>
      <c r="G536" s="3" t="s">
        <v>0</v>
      </c>
      <c r="H536" s="5">
        <v>42004</v>
      </c>
      <c r="I536" s="27" t="s">
        <v>984</v>
      </c>
      <c r="J536" s="4" t="s">
        <v>1962</v>
      </c>
      <c r="K536" s="5" t="s">
        <v>792</v>
      </c>
      <c r="L536" s="5" t="s">
        <v>2147</v>
      </c>
      <c r="M536" s="72">
        <f t="shared" si="97"/>
        <v>4945.18</v>
      </c>
      <c r="N536" s="72">
        <f t="shared" si="105"/>
        <v>4945.18</v>
      </c>
      <c r="O536" s="72">
        <v>4945.18</v>
      </c>
      <c r="P536" s="72">
        <v>6850</v>
      </c>
      <c r="Q536" s="256">
        <f t="shared" si="106"/>
        <v>1507</v>
      </c>
      <c r="R536" s="256">
        <f t="shared" si="107"/>
        <v>8357</v>
      </c>
      <c r="S536" s="296"/>
      <c r="T536" s="3">
        <v>29</v>
      </c>
      <c r="U536" s="293"/>
    </row>
    <row r="537" spans="1:21" ht="34.5" customHeight="1" x14ac:dyDescent="0.35">
      <c r="A537" s="218" t="s">
        <v>2811</v>
      </c>
      <c r="B537" s="3">
        <v>505</v>
      </c>
      <c r="C537" s="44">
        <v>10120769</v>
      </c>
      <c r="D537" s="18" t="s">
        <v>24</v>
      </c>
      <c r="E537" s="18" t="s">
        <v>2219</v>
      </c>
      <c r="F537" s="12">
        <v>1</v>
      </c>
      <c r="G537" s="3" t="s">
        <v>0</v>
      </c>
      <c r="H537" s="5">
        <v>41577</v>
      </c>
      <c r="I537" s="27" t="s">
        <v>984</v>
      </c>
      <c r="J537" s="4" t="s">
        <v>1962</v>
      </c>
      <c r="K537" s="5" t="s">
        <v>793</v>
      </c>
      <c r="L537" s="5" t="s">
        <v>2147</v>
      </c>
      <c r="M537" s="72">
        <f t="shared" si="97"/>
        <v>4912.3599999999997</v>
      </c>
      <c r="N537" s="72">
        <f t="shared" si="105"/>
        <v>4912.3599999999997</v>
      </c>
      <c r="O537" s="72">
        <v>4912.3599999999997</v>
      </c>
      <c r="P537" s="72">
        <v>6800</v>
      </c>
      <c r="Q537" s="256">
        <f t="shared" si="106"/>
        <v>1496</v>
      </c>
      <c r="R537" s="256">
        <f t="shared" si="107"/>
        <v>8296</v>
      </c>
      <c r="S537" s="297"/>
      <c r="T537" s="3">
        <v>29</v>
      </c>
      <c r="U537" s="293"/>
    </row>
    <row r="538" spans="1:21" ht="14.25" customHeight="1" x14ac:dyDescent="0.35">
      <c r="A538" s="218"/>
      <c r="B538" s="94"/>
      <c r="C538" s="44"/>
      <c r="D538" s="18"/>
      <c r="E538" s="18"/>
      <c r="F538" s="12"/>
      <c r="G538" s="3"/>
      <c r="H538" s="5"/>
      <c r="I538" s="27"/>
      <c r="J538" s="4"/>
      <c r="K538" s="5"/>
      <c r="L538" s="5"/>
      <c r="M538" s="72"/>
      <c r="N538" s="72"/>
      <c r="O538" s="82">
        <f>SUM(O513:O537)</f>
        <v>2389611.15</v>
      </c>
      <c r="P538" s="82">
        <f t="shared" ref="P538:Q538" si="108">SUM(P513:P537)</f>
        <v>2234470</v>
      </c>
      <c r="Q538" s="279">
        <f t="shared" si="108"/>
        <v>491583.4</v>
      </c>
      <c r="R538" s="279">
        <f>SUM(R513:R537)</f>
        <v>2726053.4</v>
      </c>
      <c r="S538" s="286">
        <f>R538/100*10</f>
        <v>272605.34000000003</v>
      </c>
      <c r="T538" s="104">
        <v>29</v>
      </c>
      <c r="U538" s="304"/>
    </row>
    <row r="539" spans="1:21" ht="30" customHeight="1" x14ac:dyDescent="0.35">
      <c r="A539" s="218" t="s">
        <v>2812</v>
      </c>
      <c r="B539" s="3">
        <v>506</v>
      </c>
      <c r="C539" s="44">
        <v>10121147</v>
      </c>
      <c r="D539" s="18" t="s">
        <v>1868</v>
      </c>
      <c r="E539" s="19" t="s">
        <v>2220</v>
      </c>
      <c r="F539" s="12">
        <v>1</v>
      </c>
      <c r="G539" s="3" t="s">
        <v>0</v>
      </c>
      <c r="H539" s="39">
        <v>42361</v>
      </c>
      <c r="I539" s="27" t="s">
        <v>984</v>
      </c>
      <c r="J539" s="4" t="s">
        <v>1962</v>
      </c>
      <c r="K539" s="4" t="s">
        <v>988</v>
      </c>
      <c r="L539" s="29" t="s">
        <v>977</v>
      </c>
      <c r="M539" s="78">
        <f t="shared" si="97"/>
        <v>571.67999999999995</v>
      </c>
      <c r="N539" s="78">
        <f t="shared" ref="N539:N544" si="109">O539/F539</f>
        <v>571.67999999999995</v>
      </c>
      <c r="O539" s="78">
        <v>571.67999999999995</v>
      </c>
      <c r="P539" s="72">
        <v>610</v>
      </c>
      <c r="Q539" s="256">
        <f t="shared" ref="Q539:Q544" si="110">R539-P539</f>
        <v>134.19999999999999</v>
      </c>
      <c r="R539" s="256">
        <f t="shared" ref="R539:R544" si="111">P539*1.22</f>
        <v>744.2</v>
      </c>
      <c r="S539" s="289"/>
      <c r="T539" s="3">
        <v>30</v>
      </c>
      <c r="U539" s="292" t="s">
        <v>2320</v>
      </c>
    </row>
    <row r="540" spans="1:21" ht="30" customHeight="1" x14ac:dyDescent="0.35">
      <c r="A540" s="218" t="s">
        <v>2813</v>
      </c>
      <c r="B540" s="3">
        <v>507</v>
      </c>
      <c r="C540" s="44">
        <v>10109520</v>
      </c>
      <c r="D540" s="18" t="s">
        <v>1647</v>
      </c>
      <c r="E540" s="18" t="s">
        <v>2027</v>
      </c>
      <c r="F540" s="12">
        <v>1</v>
      </c>
      <c r="G540" s="3" t="s">
        <v>0</v>
      </c>
      <c r="H540" s="39">
        <v>40179</v>
      </c>
      <c r="I540" s="27" t="s">
        <v>984</v>
      </c>
      <c r="J540" s="4" t="s">
        <v>1997</v>
      </c>
      <c r="K540" s="4" t="s">
        <v>988</v>
      </c>
      <c r="L540" s="29" t="s">
        <v>977</v>
      </c>
      <c r="M540" s="78">
        <f t="shared" si="97"/>
        <v>1498.31</v>
      </c>
      <c r="N540" s="78">
        <f t="shared" si="109"/>
        <v>1498.31</v>
      </c>
      <c r="O540" s="78">
        <v>1498.31</v>
      </c>
      <c r="P540" s="72">
        <v>2230</v>
      </c>
      <c r="Q540" s="256">
        <f t="shared" si="110"/>
        <v>490.6</v>
      </c>
      <c r="R540" s="256">
        <f t="shared" si="111"/>
        <v>2720.6</v>
      </c>
      <c r="S540" s="296"/>
      <c r="T540" s="3">
        <v>30</v>
      </c>
      <c r="U540" s="293"/>
    </row>
    <row r="541" spans="1:21" ht="30" customHeight="1" x14ac:dyDescent="0.35">
      <c r="A541" s="218" t="s">
        <v>2814</v>
      </c>
      <c r="B541" s="3">
        <v>508</v>
      </c>
      <c r="C541" s="44">
        <v>10036486</v>
      </c>
      <c r="D541" s="18" t="s">
        <v>1697</v>
      </c>
      <c r="E541" s="18" t="s">
        <v>2027</v>
      </c>
      <c r="F541" s="12">
        <v>5</v>
      </c>
      <c r="G541" s="3" t="s">
        <v>0</v>
      </c>
      <c r="H541" s="39">
        <v>41516</v>
      </c>
      <c r="I541" s="27" t="s">
        <v>984</v>
      </c>
      <c r="J541" s="4" t="s">
        <v>1962</v>
      </c>
      <c r="K541" s="4" t="s">
        <v>988</v>
      </c>
      <c r="L541" s="29" t="s">
        <v>977</v>
      </c>
      <c r="M541" s="78">
        <f t="shared" si="97"/>
        <v>6170.79</v>
      </c>
      <c r="N541" s="78">
        <f t="shared" si="109"/>
        <v>1234.1600000000001</v>
      </c>
      <c r="O541" s="78">
        <v>6170.79</v>
      </c>
      <c r="P541" s="72">
        <v>7780</v>
      </c>
      <c r="Q541" s="256">
        <f t="shared" si="110"/>
        <v>1711.6</v>
      </c>
      <c r="R541" s="256">
        <f t="shared" si="111"/>
        <v>9491.6</v>
      </c>
      <c r="S541" s="296"/>
      <c r="T541" s="3">
        <v>30</v>
      </c>
      <c r="U541" s="293"/>
    </row>
    <row r="542" spans="1:21" ht="30" customHeight="1" x14ac:dyDescent="0.35">
      <c r="A542" s="218" t="s">
        <v>2815</v>
      </c>
      <c r="B542" s="3">
        <v>509</v>
      </c>
      <c r="C542" s="44">
        <v>10121818</v>
      </c>
      <c r="D542" s="18" t="s">
        <v>1869</v>
      </c>
      <c r="E542" s="18" t="s">
        <v>2027</v>
      </c>
      <c r="F542" s="12">
        <v>28</v>
      </c>
      <c r="G542" s="3" t="s">
        <v>52</v>
      </c>
      <c r="H542" s="39">
        <v>41431</v>
      </c>
      <c r="I542" s="27" t="s">
        <v>984</v>
      </c>
      <c r="J542" s="4" t="s">
        <v>1962</v>
      </c>
      <c r="K542" s="4" t="s">
        <v>988</v>
      </c>
      <c r="L542" s="29" t="s">
        <v>977</v>
      </c>
      <c r="M542" s="78">
        <f t="shared" si="97"/>
        <v>4573.08</v>
      </c>
      <c r="N542" s="78">
        <f t="shared" si="109"/>
        <v>163.32</v>
      </c>
      <c r="O542" s="78">
        <v>4573.08</v>
      </c>
      <c r="P542" s="72">
        <v>5810</v>
      </c>
      <c r="Q542" s="256">
        <f t="shared" si="110"/>
        <v>1278.2</v>
      </c>
      <c r="R542" s="256">
        <f t="shared" si="111"/>
        <v>7088.2</v>
      </c>
      <c r="S542" s="296"/>
      <c r="T542" s="3">
        <v>30</v>
      </c>
      <c r="U542" s="293"/>
    </row>
    <row r="543" spans="1:21" ht="30" customHeight="1" x14ac:dyDescent="0.35">
      <c r="A543" s="218" t="s">
        <v>2816</v>
      </c>
      <c r="B543" s="3">
        <v>510</v>
      </c>
      <c r="C543" s="65">
        <v>10140198</v>
      </c>
      <c r="D543" s="8" t="s">
        <v>1387</v>
      </c>
      <c r="E543" s="19" t="s">
        <v>2219</v>
      </c>
      <c r="F543" s="92">
        <v>49</v>
      </c>
      <c r="G543" s="3" t="s">
        <v>0</v>
      </c>
      <c r="H543" s="40">
        <v>41244</v>
      </c>
      <c r="I543" s="27" t="s">
        <v>984</v>
      </c>
      <c r="J543" s="41" t="s">
        <v>1412</v>
      </c>
      <c r="K543" s="4" t="s">
        <v>988</v>
      </c>
      <c r="L543" s="29" t="s">
        <v>977</v>
      </c>
      <c r="M543" s="78">
        <f t="shared" si="97"/>
        <v>1127</v>
      </c>
      <c r="N543" s="78">
        <f t="shared" si="109"/>
        <v>23</v>
      </c>
      <c r="O543" s="78">
        <v>1127</v>
      </c>
      <c r="P543" s="72">
        <v>1470</v>
      </c>
      <c r="Q543" s="256">
        <f t="shared" si="110"/>
        <v>323.39999999999998</v>
      </c>
      <c r="R543" s="256">
        <f t="shared" si="111"/>
        <v>1793.4</v>
      </c>
      <c r="S543" s="296"/>
      <c r="T543" s="3">
        <v>30</v>
      </c>
      <c r="U543" s="293"/>
    </row>
    <row r="544" spans="1:21" ht="30" customHeight="1" x14ac:dyDescent="0.35">
      <c r="A544" s="218" t="s">
        <v>2817</v>
      </c>
      <c r="B544" s="3">
        <v>511</v>
      </c>
      <c r="C544" s="65">
        <v>10140959</v>
      </c>
      <c r="D544" s="8" t="s">
        <v>1388</v>
      </c>
      <c r="E544" s="19" t="s">
        <v>2219</v>
      </c>
      <c r="F544" s="92">
        <v>45</v>
      </c>
      <c r="G544" s="3" t="s">
        <v>0</v>
      </c>
      <c r="H544" s="40">
        <v>41091</v>
      </c>
      <c r="I544" s="27" t="s">
        <v>984</v>
      </c>
      <c r="J544" s="4" t="s">
        <v>1962</v>
      </c>
      <c r="K544" s="4" t="s">
        <v>988</v>
      </c>
      <c r="L544" s="29" t="s">
        <v>977</v>
      </c>
      <c r="M544" s="78">
        <f t="shared" si="97"/>
        <v>151.19999999999999</v>
      </c>
      <c r="N544" s="78">
        <f t="shared" si="109"/>
        <v>3.36</v>
      </c>
      <c r="O544" s="78">
        <v>151.19999999999999</v>
      </c>
      <c r="P544" s="72">
        <v>200</v>
      </c>
      <c r="Q544" s="256">
        <f t="shared" si="110"/>
        <v>44</v>
      </c>
      <c r="R544" s="256">
        <f t="shared" si="111"/>
        <v>244</v>
      </c>
      <c r="S544" s="297"/>
      <c r="T544" s="3">
        <v>30</v>
      </c>
      <c r="U544" s="293"/>
    </row>
    <row r="545" spans="1:21" ht="15" customHeight="1" x14ac:dyDescent="0.35">
      <c r="A545" s="218"/>
      <c r="B545" s="94"/>
      <c r="C545" s="65"/>
      <c r="D545" s="8"/>
      <c r="E545" s="19"/>
      <c r="F545" s="92"/>
      <c r="G545" s="3"/>
      <c r="H545" s="40"/>
      <c r="I545" s="27"/>
      <c r="J545" s="4"/>
      <c r="K545" s="4"/>
      <c r="L545" s="29"/>
      <c r="M545" s="78"/>
      <c r="N545" s="78"/>
      <c r="O545" s="108">
        <f>SUM(O539:O544)</f>
        <v>14092.06</v>
      </c>
      <c r="P545" s="276">
        <f t="shared" ref="P545:Q545" si="112">SUM(P539:P544)</f>
        <v>18100</v>
      </c>
      <c r="Q545" s="282">
        <f t="shared" si="112"/>
        <v>3982</v>
      </c>
      <c r="R545" s="282">
        <f>SUM(R539:R544)</f>
        <v>22082</v>
      </c>
      <c r="S545" s="286">
        <f>R545/100*10</f>
        <v>2208.1999999999998</v>
      </c>
      <c r="T545" s="104">
        <v>30</v>
      </c>
      <c r="U545" s="304"/>
    </row>
    <row r="546" spans="1:21" ht="30" customHeight="1" x14ac:dyDescent="0.35">
      <c r="A546" s="218" t="s">
        <v>2819</v>
      </c>
      <c r="B546" s="3">
        <v>512</v>
      </c>
      <c r="C546" s="44">
        <v>10139098</v>
      </c>
      <c r="D546" s="18" t="s">
        <v>254</v>
      </c>
      <c r="E546" s="18" t="s">
        <v>2203</v>
      </c>
      <c r="F546" s="12">
        <v>50</v>
      </c>
      <c r="G546" s="3" t="s">
        <v>17</v>
      </c>
      <c r="H546" s="5">
        <v>40380</v>
      </c>
      <c r="I546" s="5" t="s">
        <v>2144</v>
      </c>
      <c r="J546" s="4" t="s">
        <v>1962</v>
      </c>
      <c r="K546" s="5" t="s">
        <v>988</v>
      </c>
      <c r="L546" s="5" t="s">
        <v>871</v>
      </c>
      <c r="M546" s="72">
        <f t="shared" si="97"/>
        <v>5394.88</v>
      </c>
      <c r="N546" s="72">
        <f>O546/F546</f>
        <v>107.9</v>
      </c>
      <c r="O546" s="72">
        <v>5394.88</v>
      </c>
      <c r="P546" s="72">
        <v>4800</v>
      </c>
      <c r="Q546" s="256">
        <f t="shared" ref="Q546:Q557" si="113">R546-P546</f>
        <v>1056</v>
      </c>
      <c r="R546" s="256">
        <f>P546*1.22</f>
        <v>5856</v>
      </c>
      <c r="S546" s="289"/>
      <c r="T546" s="3">
        <v>31</v>
      </c>
      <c r="U546" s="292" t="s">
        <v>2320</v>
      </c>
    </row>
    <row r="547" spans="1:21" ht="30" customHeight="1" x14ac:dyDescent="0.35">
      <c r="A547" s="218" t="s">
        <v>2818</v>
      </c>
      <c r="B547" s="3">
        <v>513</v>
      </c>
      <c r="C547" s="68">
        <v>10109003</v>
      </c>
      <c r="D547" s="24" t="s">
        <v>1149</v>
      </c>
      <c r="E547" s="18" t="s">
        <v>2237</v>
      </c>
      <c r="F547" s="91">
        <v>507</v>
      </c>
      <c r="G547" s="3" t="s">
        <v>0</v>
      </c>
      <c r="H547" s="54" t="s">
        <v>1161</v>
      </c>
      <c r="I547" s="4" t="s">
        <v>989</v>
      </c>
      <c r="J547" s="4" t="s">
        <v>1962</v>
      </c>
      <c r="K547" s="23" t="s">
        <v>1149</v>
      </c>
      <c r="L547" s="6" t="s">
        <v>871</v>
      </c>
      <c r="M547" s="81">
        <f t="shared" si="97"/>
        <v>12623.29</v>
      </c>
      <c r="N547" s="81">
        <f>O547/F547</f>
        <v>24.9</v>
      </c>
      <c r="O547" s="81">
        <v>12623.29</v>
      </c>
      <c r="P547" s="72">
        <v>11220</v>
      </c>
      <c r="Q547" s="256">
        <f t="shared" si="113"/>
        <v>2468.4</v>
      </c>
      <c r="R547" s="256">
        <f>P547*1.22</f>
        <v>13688.4</v>
      </c>
      <c r="S547" s="296"/>
      <c r="T547" s="3">
        <v>31</v>
      </c>
      <c r="U547" s="293"/>
    </row>
    <row r="548" spans="1:21" ht="30" customHeight="1" x14ac:dyDescent="0.35">
      <c r="A548" s="218" t="s">
        <v>2820</v>
      </c>
      <c r="B548" s="3">
        <v>514</v>
      </c>
      <c r="C548" s="44">
        <v>10029474</v>
      </c>
      <c r="D548" s="18" t="s">
        <v>124</v>
      </c>
      <c r="E548" s="18" t="s">
        <v>2219</v>
      </c>
      <c r="F548" s="12">
        <v>174</v>
      </c>
      <c r="G548" s="3" t="s">
        <v>0</v>
      </c>
      <c r="H548" s="49">
        <v>2014</v>
      </c>
      <c r="I548" s="27" t="s">
        <v>984</v>
      </c>
      <c r="J548" s="5" t="s">
        <v>1962</v>
      </c>
      <c r="K548" s="49" t="s">
        <v>2131</v>
      </c>
      <c r="L548" s="5" t="s">
        <v>2147</v>
      </c>
      <c r="M548" s="72">
        <f t="shared" si="97"/>
        <v>2390.9699999999998</v>
      </c>
      <c r="N548" s="72">
        <f>O548/F548</f>
        <v>13.74</v>
      </c>
      <c r="O548" s="72">
        <v>2390.9699999999998</v>
      </c>
      <c r="P548" s="72">
        <v>2460</v>
      </c>
      <c r="Q548" s="256">
        <f t="shared" si="113"/>
        <v>541.20000000000005</v>
      </c>
      <c r="R548" s="256">
        <f>P548*1.22</f>
        <v>3001.2</v>
      </c>
      <c r="S548" s="297"/>
      <c r="T548" s="3">
        <v>31</v>
      </c>
      <c r="U548" s="293"/>
    </row>
    <row r="549" spans="1:21" ht="15" customHeight="1" x14ac:dyDescent="0.35">
      <c r="A549" s="218"/>
      <c r="B549" s="94"/>
      <c r="C549" s="44"/>
      <c r="D549" s="18"/>
      <c r="E549" s="18"/>
      <c r="F549" s="12"/>
      <c r="G549" s="3"/>
      <c r="H549" s="49"/>
      <c r="I549" s="27"/>
      <c r="J549" s="5"/>
      <c r="K549" s="49"/>
      <c r="L549" s="5"/>
      <c r="M549" s="72"/>
      <c r="N549" s="72"/>
      <c r="O549" s="82">
        <f>SUM(O546:O548)</f>
        <v>20409.14</v>
      </c>
      <c r="P549" s="276">
        <f>SUM(P546:P548)</f>
        <v>18480</v>
      </c>
      <c r="Q549" s="279">
        <f t="shared" si="113"/>
        <v>4065.6</v>
      </c>
      <c r="R549" s="282">
        <f>SUM(R546:R548)</f>
        <v>22545.599999999999</v>
      </c>
      <c r="S549" s="286">
        <f>R549/100*10</f>
        <v>2254.56</v>
      </c>
      <c r="T549" s="104">
        <v>31</v>
      </c>
      <c r="U549" s="304"/>
    </row>
    <row r="550" spans="1:21" ht="30" customHeight="1" x14ac:dyDescent="0.35">
      <c r="A550" s="218" t="s">
        <v>2821</v>
      </c>
      <c r="B550" s="3">
        <v>515</v>
      </c>
      <c r="C550" s="44">
        <v>10023094</v>
      </c>
      <c r="D550" s="18" t="s">
        <v>1467</v>
      </c>
      <c r="E550" s="19" t="s">
        <v>2219</v>
      </c>
      <c r="F550" s="12">
        <v>60</v>
      </c>
      <c r="G550" s="3" t="s">
        <v>17</v>
      </c>
      <c r="H550" s="39">
        <v>40287</v>
      </c>
      <c r="I550" s="27" t="s">
        <v>984</v>
      </c>
      <c r="J550" s="4" t="s">
        <v>1962</v>
      </c>
      <c r="K550" s="4" t="s">
        <v>988</v>
      </c>
      <c r="L550" s="29" t="s">
        <v>977</v>
      </c>
      <c r="M550" s="78">
        <f t="shared" si="97"/>
        <v>812.4</v>
      </c>
      <c r="N550" s="78">
        <f>O550/F550</f>
        <v>13.54</v>
      </c>
      <c r="O550" s="78">
        <v>812.4</v>
      </c>
      <c r="P550" s="72">
        <v>1200</v>
      </c>
      <c r="Q550" s="256">
        <f t="shared" si="113"/>
        <v>264</v>
      </c>
      <c r="R550" s="256">
        <f t="shared" ref="R550:R557" si="114">P550*1.22</f>
        <v>1464</v>
      </c>
      <c r="S550" s="289"/>
      <c r="T550" s="3">
        <v>32</v>
      </c>
      <c r="U550" s="292" t="s">
        <v>2321</v>
      </c>
    </row>
    <row r="551" spans="1:21" ht="30" customHeight="1" x14ac:dyDescent="0.35">
      <c r="A551" s="218" t="s">
        <v>2822</v>
      </c>
      <c r="B551" s="3">
        <v>516</v>
      </c>
      <c r="C551" s="44">
        <v>10031420</v>
      </c>
      <c r="D551" s="18" t="s">
        <v>392</v>
      </c>
      <c r="E551" s="18" t="s">
        <v>2201</v>
      </c>
      <c r="F551" s="12">
        <f>7-6</f>
        <v>1</v>
      </c>
      <c r="G551" s="3" t="s">
        <v>0</v>
      </c>
      <c r="H551" s="5">
        <v>42824</v>
      </c>
      <c r="I551" s="5" t="s">
        <v>999</v>
      </c>
      <c r="J551" s="4" t="s">
        <v>1962</v>
      </c>
      <c r="K551" s="5" t="s">
        <v>988</v>
      </c>
      <c r="L551" s="5" t="s">
        <v>871</v>
      </c>
      <c r="M551" s="78">
        <v>397.64</v>
      </c>
      <c r="N551" s="78">
        <v>397.64</v>
      </c>
      <c r="O551" s="78">
        <v>397.64</v>
      </c>
      <c r="P551" s="72">
        <v>220</v>
      </c>
      <c r="Q551" s="256">
        <f t="shared" si="113"/>
        <v>48.4</v>
      </c>
      <c r="R551" s="256">
        <f t="shared" si="114"/>
        <v>268.39999999999998</v>
      </c>
      <c r="S551" s="296"/>
      <c r="T551" s="3">
        <v>32</v>
      </c>
      <c r="U551" s="294"/>
    </row>
    <row r="552" spans="1:21" ht="30" customHeight="1" x14ac:dyDescent="0.35">
      <c r="A552" s="218" t="s">
        <v>2823</v>
      </c>
      <c r="B552" s="3">
        <v>517</v>
      </c>
      <c r="C552" s="18">
        <v>102029196</v>
      </c>
      <c r="D552" s="18" t="s">
        <v>2158</v>
      </c>
      <c r="E552" s="18" t="s">
        <v>2197</v>
      </c>
      <c r="F552" s="12">
        <v>910</v>
      </c>
      <c r="G552" s="3" t="s">
        <v>17</v>
      </c>
      <c r="H552" s="3">
        <v>2008</v>
      </c>
      <c r="I552" s="13" t="s">
        <v>999</v>
      </c>
      <c r="J552" s="4" t="s">
        <v>1962</v>
      </c>
      <c r="K552" s="4" t="s">
        <v>988</v>
      </c>
      <c r="L552" s="5" t="s">
        <v>871</v>
      </c>
      <c r="M552" s="78">
        <v>48621.3</v>
      </c>
      <c r="N552" s="78">
        <v>53.43</v>
      </c>
      <c r="O552" s="78">
        <v>48621.3</v>
      </c>
      <c r="P552" s="72">
        <v>47040</v>
      </c>
      <c r="Q552" s="256">
        <f t="shared" si="113"/>
        <v>10348.799999999999</v>
      </c>
      <c r="R552" s="256">
        <f t="shared" si="114"/>
        <v>57388.800000000003</v>
      </c>
      <c r="S552" s="296"/>
      <c r="T552" s="3">
        <v>32</v>
      </c>
      <c r="U552" s="294"/>
    </row>
    <row r="553" spans="1:21" ht="30" customHeight="1" x14ac:dyDescent="0.35">
      <c r="A553" s="218" t="s">
        <v>2824</v>
      </c>
      <c r="B553" s="3">
        <v>518</v>
      </c>
      <c r="C553" s="18">
        <v>102029159</v>
      </c>
      <c r="D553" s="18" t="s">
        <v>2159</v>
      </c>
      <c r="E553" s="18" t="s">
        <v>2197</v>
      </c>
      <c r="F553" s="12">
        <v>2</v>
      </c>
      <c r="G553" s="3" t="s">
        <v>17</v>
      </c>
      <c r="H553" s="3">
        <v>2007</v>
      </c>
      <c r="I553" s="13" t="s">
        <v>999</v>
      </c>
      <c r="J553" s="4" t="s">
        <v>1962</v>
      </c>
      <c r="K553" s="4" t="s">
        <v>988</v>
      </c>
      <c r="L553" s="5" t="s">
        <v>871</v>
      </c>
      <c r="M553" s="78">
        <v>603.20000000000005</v>
      </c>
      <c r="N553" s="78">
        <v>301.60000000000002</v>
      </c>
      <c r="O553" s="78">
        <v>603.20000000000005</v>
      </c>
      <c r="P553" s="72">
        <v>640</v>
      </c>
      <c r="Q553" s="256">
        <f t="shared" si="113"/>
        <v>140.80000000000001</v>
      </c>
      <c r="R553" s="256">
        <f t="shared" si="114"/>
        <v>780.8</v>
      </c>
      <c r="S553" s="296"/>
      <c r="T553" s="3">
        <v>32</v>
      </c>
      <c r="U553" s="294"/>
    </row>
    <row r="554" spans="1:21" ht="30" customHeight="1" x14ac:dyDescent="0.35">
      <c r="A554" s="218" t="s">
        <v>2825</v>
      </c>
      <c r="B554" s="3">
        <v>519</v>
      </c>
      <c r="C554" s="18">
        <v>102029219</v>
      </c>
      <c r="D554" s="18" t="s">
        <v>2160</v>
      </c>
      <c r="E554" s="18" t="s">
        <v>2197</v>
      </c>
      <c r="F554" s="12">
        <v>200</v>
      </c>
      <c r="G554" s="3" t="s">
        <v>17</v>
      </c>
      <c r="H554" s="3">
        <v>2007</v>
      </c>
      <c r="I554" s="13" t="s">
        <v>999</v>
      </c>
      <c r="J554" s="4" t="s">
        <v>1962</v>
      </c>
      <c r="K554" s="4" t="s">
        <v>988</v>
      </c>
      <c r="L554" s="5" t="s">
        <v>871</v>
      </c>
      <c r="M554" s="78">
        <v>3014</v>
      </c>
      <c r="N554" s="78">
        <v>15.07</v>
      </c>
      <c r="O554" s="78">
        <v>3014</v>
      </c>
      <c r="P554" s="72">
        <v>3190</v>
      </c>
      <c r="Q554" s="256">
        <f t="shared" si="113"/>
        <v>701.8</v>
      </c>
      <c r="R554" s="256">
        <f t="shared" si="114"/>
        <v>3891.8</v>
      </c>
      <c r="S554" s="296"/>
      <c r="T554" s="3">
        <v>32</v>
      </c>
      <c r="U554" s="294"/>
    </row>
    <row r="555" spans="1:21" ht="30" customHeight="1" x14ac:dyDescent="0.35">
      <c r="A555" s="218" t="s">
        <v>2826</v>
      </c>
      <c r="B555" s="3">
        <v>520</v>
      </c>
      <c r="C555" s="18">
        <v>102029218</v>
      </c>
      <c r="D555" s="18" t="s">
        <v>2161</v>
      </c>
      <c r="E555" s="18" t="s">
        <v>2197</v>
      </c>
      <c r="F555" s="12">
        <f>600-350</f>
        <v>250</v>
      </c>
      <c r="G555" s="3" t="s">
        <v>17</v>
      </c>
      <c r="H555" s="3">
        <v>2007</v>
      </c>
      <c r="I555" s="13" t="s">
        <v>999</v>
      </c>
      <c r="J555" s="4" t="s">
        <v>1962</v>
      </c>
      <c r="K555" s="4" t="s">
        <v>988</v>
      </c>
      <c r="L555" s="5" t="s">
        <v>871</v>
      </c>
      <c r="M555" s="78">
        <v>62255</v>
      </c>
      <c r="N555" s="78">
        <v>249.02</v>
      </c>
      <c r="O555" s="78">
        <v>62255</v>
      </c>
      <c r="P555" s="72">
        <v>65940</v>
      </c>
      <c r="Q555" s="256">
        <f t="shared" si="113"/>
        <v>14506.8</v>
      </c>
      <c r="R555" s="256">
        <f t="shared" si="114"/>
        <v>80446.8</v>
      </c>
      <c r="S555" s="296"/>
      <c r="T555" s="3">
        <v>32</v>
      </c>
      <c r="U555" s="294"/>
    </row>
    <row r="556" spans="1:21" ht="30" customHeight="1" x14ac:dyDescent="0.35">
      <c r="A556" s="218" t="s">
        <v>2827</v>
      </c>
      <c r="B556" s="3">
        <v>521</v>
      </c>
      <c r="C556" s="18">
        <v>102004392</v>
      </c>
      <c r="D556" s="18" t="s">
        <v>2170</v>
      </c>
      <c r="E556" s="18" t="s">
        <v>2197</v>
      </c>
      <c r="F556" s="12">
        <v>40</v>
      </c>
      <c r="G556" s="3" t="s">
        <v>17</v>
      </c>
      <c r="H556" s="3">
        <v>2007</v>
      </c>
      <c r="I556" s="13" t="s">
        <v>999</v>
      </c>
      <c r="J556" s="4" t="s">
        <v>1962</v>
      </c>
      <c r="K556" s="4" t="s">
        <v>988</v>
      </c>
      <c r="L556" s="5" t="s">
        <v>871</v>
      </c>
      <c r="M556" s="78">
        <v>3212.4</v>
      </c>
      <c r="N556" s="78">
        <v>80.31</v>
      </c>
      <c r="O556" s="78">
        <v>3212.4</v>
      </c>
      <c r="P556" s="72">
        <v>3400</v>
      </c>
      <c r="Q556" s="256">
        <f t="shared" si="113"/>
        <v>748</v>
      </c>
      <c r="R556" s="256">
        <f t="shared" si="114"/>
        <v>4148</v>
      </c>
      <c r="S556" s="296"/>
      <c r="T556" s="3">
        <v>32</v>
      </c>
      <c r="U556" s="294"/>
    </row>
    <row r="557" spans="1:21" ht="30" customHeight="1" x14ac:dyDescent="0.35">
      <c r="A557" s="218" t="s">
        <v>2828</v>
      </c>
      <c r="B557" s="3">
        <v>522</v>
      </c>
      <c r="C557" s="18">
        <v>102029168</v>
      </c>
      <c r="D557" s="18" t="s">
        <v>2171</v>
      </c>
      <c r="E557" s="18" t="s">
        <v>2197</v>
      </c>
      <c r="F557" s="12">
        <v>740</v>
      </c>
      <c r="G557" s="3" t="s">
        <v>17</v>
      </c>
      <c r="H557" s="3">
        <v>2006</v>
      </c>
      <c r="I557" s="13" t="s">
        <v>999</v>
      </c>
      <c r="J557" s="4" t="s">
        <v>1962</v>
      </c>
      <c r="K557" s="4" t="s">
        <v>988</v>
      </c>
      <c r="L557" s="5" t="s">
        <v>871</v>
      </c>
      <c r="M557" s="78">
        <v>34417.4</v>
      </c>
      <c r="N557" s="78">
        <v>46.51</v>
      </c>
      <c r="O557" s="78">
        <v>34417.4</v>
      </c>
      <c r="P557" s="72">
        <v>40970</v>
      </c>
      <c r="Q557" s="256">
        <f t="shared" si="113"/>
        <v>9013.4</v>
      </c>
      <c r="R557" s="256">
        <f t="shared" si="114"/>
        <v>49983.4</v>
      </c>
      <c r="S557" s="297"/>
      <c r="T557" s="3">
        <v>32</v>
      </c>
      <c r="U557" s="294"/>
    </row>
    <row r="558" spans="1:21" ht="15" customHeight="1" x14ac:dyDescent="0.35">
      <c r="A558" s="218"/>
      <c r="B558" s="94"/>
      <c r="C558" s="44"/>
      <c r="D558" s="18"/>
      <c r="E558" s="18"/>
      <c r="F558" s="12"/>
      <c r="G558" s="3"/>
      <c r="H558" s="39"/>
      <c r="I558" s="27"/>
      <c r="J558" s="4"/>
      <c r="K558" s="4"/>
      <c r="L558" s="29"/>
      <c r="M558" s="90"/>
      <c r="N558" s="90"/>
      <c r="O558" s="110">
        <f>SUM(O550:O557)</f>
        <v>153333.34</v>
      </c>
      <c r="P558" s="276">
        <f t="shared" ref="P558:Q558" si="115">SUM(P550:P557)</f>
        <v>162600</v>
      </c>
      <c r="Q558" s="282">
        <f t="shared" si="115"/>
        <v>35772</v>
      </c>
      <c r="R558" s="282">
        <f>SUM(R550:R557)</f>
        <v>198372</v>
      </c>
      <c r="S558" s="286">
        <f>R558/100*10</f>
        <v>19837.2</v>
      </c>
      <c r="T558" s="104">
        <v>32</v>
      </c>
      <c r="U558" s="304"/>
    </row>
    <row r="559" spans="1:21" ht="34.5" customHeight="1" x14ac:dyDescent="0.35">
      <c r="A559" s="218" t="s">
        <v>2829</v>
      </c>
      <c r="B559" s="3">
        <v>523</v>
      </c>
      <c r="C559" s="56">
        <v>102001191</v>
      </c>
      <c r="D559" s="10" t="s">
        <v>712</v>
      </c>
      <c r="E559" s="19" t="s">
        <v>714</v>
      </c>
      <c r="F559" s="7">
        <v>1</v>
      </c>
      <c r="G559" s="3" t="s">
        <v>0</v>
      </c>
      <c r="H559" s="17">
        <v>41974</v>
      </c>
      <c r="I559" s="4" t="s">
        <v>1002</v>
      </c>
      <c r="J559" s="4" t="s">
        <v>1962</v>
      </c>
      <c r="K559" s="32" t="s">
        <v>712</v>
      </c>
      <c r="L559" s="17" t="s">
        <v>977</v>
      </c>
      <c r="M559" s="83">
        <f t="shared" ref="M559:M564" si="116">O559</f>
        <v>107205</v>
      </c>
      <c r="N559" s="83">
        <f t="shared" ref="N559:N578" si="117">O559/F559</f>
        <v>107205</v>
      </c>
      <c r="O559" s="83">
        <v>107205</v>
      </c>
      <c r="P559" s="72">
        <v>90750</v>
      </c>
      <c r="Q559" s="256">
        <f t="shared" ref="Q559:Q590" si="118">R559-P559</f>
        <v>19965</v>
      </c>
      <c r="R559" s="256">
        <f t="shared" ref="R559:R590" si="119">P559*1.22</f>
        <v>110715</v>
      </c>
      <c r="S559" s="289"/>
      <c r="T559" s="3">
        <v>33</v>
      </c>
      <c r="U559" s="292" t="s">
        <v>2322</v>
      </c>
    </row>
    <row r="560" spans="1:21" ht="34.5" customHeight="1" x14ac:dyDescent="0.35">
      <c r="A560" s="218" t="s">
        <v>2830</v>
      </c>
      <c r="B560" s="3">
        <v>524</v>
      </c>
      <c r="C560" s="66">
        <v>10106834</v>
      </c>
      <c r="D560" s="24" t="s">
        <v>1335</v>
      </c>
      <c r="E560" s="24" t="s">
        <v>4277</v>
      </c>
      <c r="F560" s="93">
        <v>3</v>
      </c>
      <c r="G560" s="3" t="s">
        <v>0</v>
      </c>
      <c r="H560" s="25" t="s">
        <v>517</v>
      </c>
      <c r="I560" s="26" t="s">
        <v>1360</v>
      </c>
      <c r="J560" s="4" t="s">
        <v>1962</v>
      </c>
      <c r="K560" s="4" t="s">
        <v>988</v>
      </c>
      <c r="L560" s="29" t="s">
        <v>977</v>
      </c>
      <c r="M560" s="78">
        <f t="shared" si="116"/>
        <v>23850</v>
      </c>
      <c r="N560" s="78">
        <f t="shared" si="117"/>
        <v>7950</v>
      </c>
      <c r="O560" s="78">
        <v>23850</v>
      </c>
      <c r="P560" s="72">
        <v>20190</v>
      </c>
      <c r="Q560" s="256">
        <f t="shared" si="118"/>
        <v>4441.8</v>
      </c>
      <c r="R560" s="256">
        <f t="shared" si="119"/>
        <v>24631.8</v>
      </c>
      <c r="S560" s="296"/>
      <c r="T560" s="3">
        <v>33</v>
      </c>
      <c r="U560" s="294"/>
    </row>
    <row r="561" spans="1:21" ht="43" customHeight="1" x14ac:dyDescent="0.35">
      <c r="A561" s="218" t="s">
        <v>2833</v>
      </c>
      <c r="B561" s="3">
        <v>525</v>
      </c>
      <c r="C561" s="66">
        <v>10094645</v>
      </c>
      <c r="D561" s="24" t="s">
        <v>1348</v>
      </c>
      <c r="E561" s="24" t="s">
        <v>4277</v>
      </c>
      <c r="F561" s="93">
        <v>1</v>
      </c>
      <c r="G561" s="3" t="s">
        <v>0</v>
      </c>
      <c r="H561" s="25" t="s">
        <v>517</v>
      </c>
      <c r="I561" s="26" t="s">
        <v>1360</v>
      </c>
      <c r="J561" s="4" t="s">
        <v>1962</v>
      </c>
      <c r="K561" s="4" t="s">
        <v>988</v>
      </c>
      <c r="L561" s="29" t="s">
        <v>977</v>
      </c>
      <c r="M561" s="78">
        <f t="shared" si="116"/>
        <v>17388.47</v>
      </c>
      <c r="N561" s="78">
        <f t="shared" si="117"/>
        <v>17388.47</v>
      </c>
      <c r="O561" s="78">
        <v>17388.47</v>
      </c>
      <c r="P561" s="72">
        <v>14720</v>
      </c>
      <c r="Q561" s="256">
        <f t="shared" si="118"/>
        <v>3238.4</v>
      </c>
      <c r="R561" s="256">
        <f t="shared" si="119"/>
        <v>17958.400000000001</v>
      </c>
      <c r="S561" s="296"/>
      <c r="T561" s="3">
        <v>33</v>
      </c>
      <c r="U561" s="294"/>
    </row>
    <row r="562" spans="1:21" ht="21" customHeight="1" x14ac:dyDescent="0.35">
      <c r="A562" s="218" t="s">
        <v>2837</v>
      </c>
      <c r="B562" s="3">
        <v>526</v>
      </c>
      <c r="C562" s="44">
        <v>10097014</v>
      </c>
      <c r="D562" s="18" t="s">
        <v>682</v>
      </c>
      <c r="E562" s="19" t="s">
        <v>2219</v>
      </c>
      <c r="F562" s="12">
        <v>1</v>
      </c>
      <c r="G562" s="3" t="s">
        <v>0</v>
      </c>
      <c r="H562" s="39">
        <v>40179</v>
      </c>
      <c r="I562" s="27" t="s">
        <v>984</v>
      </c>
      <c r="J562" s="4" t="s">
        <v>2277</v>
      </c>
      <c r="K562" s="4" t="s">
        <v>988</v>
      </c>
      <c r="L562" s="29" t="s">
        <v>977</v>
      </c>
      <c r="M562" s="78">
        <f t="shared" si="116"/>
        <v>16862.47</v>
      </c>
      <c r="N562" s="78">
        <f t="shared" si="117"/>
        <v>16862.47</v>
      </c>
      <c r="O562" s="78">
        <v>16862.47</v>
      </c>
      <c r="P562" s="72">
        <v>16990</v>
      </c>
      <c r="Q562" s="256">
        <f t="shared" si="118"/>
        <v>3737.8</v>
      </c>
      <c r="R562" s="256">
        <f t="shared" si="119"/>
        <v>20727.8</v>
      </c>
      <c r="S562" s="296"/>
      <c r="T562" s="3">
        <v>33</v>
      </c>
      <c r="U562" s="294"/>
    </row>
    <row r="563" spans="1:21" ht="15" customHeight="1" x14ac:dyDescent="0.35">
      <c r="A563" s="218" t="s">
        <v>2838</v>
      </c>
      <c r="B563" s="3">
        <v>527</v>
      </c>
      <c r="C563" s="44">
        <v>10021524</v>
      </c>
      <c r="D563" s="18" t="s">
        <v>534</v>
      </c>
      <c r="E563" s="18" t="s">
        <v>2027</v>
      </c>
      <c r="F563" s="12">
        <v>5</v>
      </c>
      <c r="G563" s="12" t="s">
        <v>0</v>
      </c>
      <c r="H563" s="5">
        <v>41431</v>
      </c>
      <c r="I563" s="27" t="s">
        <v>984</v>
      </c>
      <c r="J563" s="4" t="s">
        <v>1962</v>
      </c>
      <c r="K563" s="4" t="s">
        <v>988</v>
      </c>
      <c r="L563" s="4" t="s">
        <v>977</v>
      </c>
      <c r="M563" s="81">
        <f t="shared" si="116"/>
        <v>1570.3</v>
      </c>
      <c r="N563" s="81">
        <f t="shared" si="117"/>
        <v>314.06</v>
      </c>
      <c r="O563" s="81">
        <v>1570.3</v>
      </c>
      <c r="P563" s="72">
        <v>1370</v>
      </c>
      <c r="Q563" s="256">
        <f t="shared" si="118"/>
        <v>301.39999999999998</v>
      </c>
      <c r="R563" s="256">
        <f t="shared" si="119"/>
        <v>1671.4</v>
      </c>
      <c r="S563" s="296"/>
      <c r="T563" s="3">
        <v>33</v>
      </c>
      <c r="U563" s="294"/>
    </row>
    <row r="564" spans="1:21" ht="15" customHeight="1" x14ac:dyDescent="0.35">
      <c r="A564" s="218" t="s">
        <v>2839</v>
      </c>
      <c r="B564" s="3">
        <v>528</v>
      </c>
      <c r="C564" s="44">
        <v>10119453</v>
      </c>
      <c r="D564" s="18" t="s">
        <v>1534</v>
      </c>
      <c r="E564" s="18" t="s">
        <v>2027</v>
      </c>
      <c r="F564" s="12">
        <v>1</v>
      </c>
      <c r="G564" s="3" t="s">
        <v>0</v>
      </c>
      <c r="H564" s="39">
        <v>41320</v>
      </c>
      <c r="I564" s="27" t="s">
        <v>984</v>
      </c>
      <c r="J564" s="4" t="s">
        <v>1962</v>
      </c>
      <c r="K564" s="4" t="s">
        <v>988</v>
      </c>
      <c r="L564" s="29" t="s">
        <v>977</v>
      </c>
      <c r="M564" s="78">
        <f t="shared" si="116"/>
        <v>560</v>
      </c>
      <c r="N564" s="78">
        <f t="shared" si="117"/>
        <v>560</v>
      </c>
      <c r="O564" s="78">
        <v>560</v>
      </c>
      <c r="P564" s="72">
        <v>490</v>
      </c>
      <c r="Q564" s="256">
        <f t="shared" si="118"/>
        <v>107.8</v>
      </c>
      <c r="R564" s="256">
        <f t="shared" si="119"/>
        <v>597.79999999999995</v>
      </c>
      <c r="S564" s="296"/>
      <c r="T564" s="3">
        <v>33</v>
      </c>
      <c r="U564" s="294"/>
    </row>
    <row r="565" spans="1:21" ht="15" customHeight="1" x14ac:dyDescent="0.35">
      <c r="A565" s="218" t="s">
        <v>2840</v>
      </c>
      <c r="B565" s="3">
        <v>529</v>
      </c>
      <c r="C565" s="44">
        <v>10119408</v>
      </c>
      <c r="D565" s="18" t="s">
        <v>1534</v>
      </c>
      <c r="E565" s="18" t="s">
        <v>2027</v>
      </c>
      <c r="F565" s="12">
        <v>2</v>
      </c>
      <c r="G565" s="3" t="s">
        <v>0</v>
      </c>
      <c r="H565" s="39">
        <v>41320</v>
      </c>
      <c r="I565" s="27" t="s">
        <v>984</v>
      </c>
      <c r="J565" s="4" t="s">
        <v>1962</v>
      </c>
      <c r="K565" s="4" t="s">
        <v>988</v>
      </c>
      <c r="L565" s="29" t="s">
        <v>977</v>
      </c>
      <c r="M565" s="78">
        <f t="shared" ref="M565:M578" si="120">O565</f>
        <v>1120</v>
      </c>
      <c r="N565" s="78">
        <f t="shared" si="117"/>
        <v>560</v>
      </c>
      <c r="O565" s="78">
        <v>1120</v>
      </c>
      <c r="P565" s="72">
        <v>980</v>
      </c>
      <c r="Q565" s="256">
        <f t="shared" si="118"/>
        <v>215.6</v>
      </c>
      <c r="R565" s="256">
        <f t="shared" si="119"/>
        <v>1195.5999999999999</v>
      </c>
      <c r="S565" s="296"/>
      <c r="T565" s="3">
        <v>33</v>
      </c>
      <c r="U565" s="294"/>
    </row>
    <row r="566" spans="1:21" ht="15" customHeight="1" x14ac:dyDescent="0.35">
      <c r="A566" s="218" t="s">
        <v>2841</v>
      </c>
      <c r="B566" s="3">
        <v>530</v>
      </c>
      <c r="C566" s="44">
        <v>102001148</v>
      </c>
      <c r="D566" s="18" t="s">
        <v>1535</v>
      </c>
      <c r="E566" s="18" t="s">
        <v>2027</v>
      </c>
      <c r="F566" s="12">
        <v>4</v>
      </c>
      <c r="G566" s="3" t="s">
        <v>0</v>
      </c>
      <c r="H566" s="3">
        <v>2015</v>
      </c>
      <c r="I566" s="27" t="s">
        <v>984</v>
      </c>
      <c r="J566" s="4" t="s">
        <v>1962</v>
      </c>
      <c r="K566" s="4" t="s">
        <v>988</v>
      </c>
      <c r="L566" s="29" t="s">
        <v>977</v>
      </c>
      <c r="M566" s="78">
        <f t="shared" si="120"/>
        <v>421590.4</v>
      </c>
      <c r="N566" s="78">
        <f t="shared" si="117"/>
        <v>105397.6</v>
      </c>
      <c r="O566" s="78">
        <v>421590.4</v>
      </c>
      <c r="P566" s="72">
        <v>335550</v>
      </c>
      <c r="Q566" s="256">
        <f t="shared" si="118"/>
        <v>73821</v>
      </c>
      <c r="R566" s="256">
        <f t="shared" si="119"/>
        <v>409371</v>
      </c>
      <c r="S566" s="296"/>
      <c r="T566" s="3">
        <v>33</v>
      </c>
      <c r="U566" s="294"/>
    </row>
    <row r="567" spans="1:21" ht="15" customHeight="1" x14ac:dyDescent="0.35">
      <c r="A567" s="218" t="s">
        <v>2842</v>
      </c>
      <c r="B567" s="3">
        <v>531</v>
      </c>
      <c r="C567" s="44">
        <v>102001231</v>
      </c>
      <c r="D567" s="18" t="s">
        <v>1536</v>
      </c>
      <c r="E567" s="18" t="s">
        <v>2027</v>
      </c>
      <c r="F567" s="12">
        <v>4</v>
      </c>
      <c r="G567" s="3" t="s">
        <v>0</v>
      </c>
      <c r="H567" s="3">
        <v>2015</v>
      </c>
      <c r="I567" s="27" t="s">
        <v>984</v>
      </c>
      <c r="J567" s="4" t="s">
        <v>1962</v>
      </c>
      <c r="K567" s="4" t="s">
        <v>988</v>
      </c>
      <c r="L567" s="29" t="s">
        <v>977</v>
      </c>
      <c r="M567" s="78">
        <f t="shared" si="120"/>
        <v>372267.2</v>
      </c>
      <c r="N567" s="78">
        <f t="shared" si="117"/>
        <v>93066.8</v>
      </c>
      <c r="O567" s="78">
        <v>372267.2</v>
      </c>
      <c r="P567" s="72">
        <v>296290</v>
      </c>
      <c r="Q567" s="256">
        <f t="shared" si="118"/>
        <v>65183.8</v>
      </c>
      <c r="R567" s="256">
        <f t="shared" si="119"/>
        <v>361473.8</v>
      </c>
      <c r="S567" s="296"/>
      <c r="T567" s="3">
        <v>33</v>
      </c>
      <c r="U567" s="294"/>
    </row>
    <row r="568" spans="1:21" ht="15" customHeight="1" x14ac:dyDescent="0.35">
      <c r="A568" s="218" t="s">
        <v>2843</v>
      </c>
      <c r="B568" s="3">
        <v>532</v>
      </c>
      <c r="C568" s="44">
        <v>102000715</v>
      </c>
      <c r="D568" s="18" t="s">
        <v>1537</v>
      </c>
      <c r="E568" s="18" t="s">
        <v>2027</v>
      </c>
      <c r="F568" s="12">
        <v>4</v>
      </c>
      <c r="G568" s="3" t="s">
        <v>0</v>
      </c>
      <c r="H568" s="3">
        <v>2015</v>
      </c>
      <c r="I568" s="27" t="s">
        <v>984</v>
      </c>
      <c r="J568" s="4" t="s">
        <v>1962</v>
      </c>
      <c r="K568" s="4" t="s">
        <v>988</v>
      </c>
      <c r="L568" s="29" t="s">
        <v>977</v>
      </c>
      <c r="M568" s="78">
        <f t="shared" si="120"/>
        <v>364280</v>
      </c>
      <c r="N568" s="78">
        <f t="shared" si="117"/>
        <v>91070</v>
      </c>
      <c r="O568" s="78">
        <v>364280</v>
      </c>
      <c r="P568" s="72">
        <v>289930</v>
      </c>
      <c r="Q568" s="256">
        <f t="shared" si="118"/>
        <v>63784.6</v>
      </c>
      <c r="R568" s="256">
        <f t="shared" si="119"/>
        <v>353714.6</v>
      </c>
      <c r="S568" s="296"/>
      <c r="T568" s="3">
        <v>33</v>
      </c>
      <c r="U568" s="294"/>
    </row>
    <row r="569" spans="1:21" ht="15" customHeight="1" x14ac:dyDescent="0.35">
      <c r="A569" s="218" t="s">
        <v>2844</v>
      </c>
      <c r="B569" s="3">
        <v>533</v>
      </c>
      <c r="C569" s="44">
        <v>10107621</v>
      </c>
      <c r="D569" s="18" t="s">
        <v>1542</v>
      </c>
      <c r="E569" s="18" t="s">
        <v>2027</v>
      </c>
      <c r="F569" s="12">
        <v>6</v>
      </c>
      <c r="G569" s="3" t="s">
        <v>0</v>
      </c>
      <c r="H569" s="39">
        <v>40227</v>
      </c>
      <c r="I569" s="27" t="s">
        <v>984</v>
      </c>
      <c r="J569" s="4" t="s">
        <v>1962</v>
      </c>
      <c r="K569" s="4" t="s">
        <v>988</v>
      </c>
      <c r="L569" s="29" t="s">
        <v>977</v>
      </c>
      <c r="M569" s="78">
        <f t="shared" si="120"/>
        <v>14109.6</v>
      </c>
      <c r="N569" s="78">
        <f t="shared" si="117"/>
        <v>2351.6</v>
      </c>
      <c r="O569" s="78">
        <v>14109.6</v>
      </c>
      <c r="P569" s="72">
        <v>14130</v>
      </c>
      <c r="Q569" s="256">
        <f t="shared" si="118"/>
        <v>3108.6</v>
      </c>
      <c r="R569" s="256">
        <f t="shared" si="119"/>
        <v>17238.599999999999</v>
      </c>
      <c r="S569" s="296"/>
      <c r="T569" s="3">
        <v>33</v>
      </c>
      <c r="U569" s="294"/>
    </row>
    <row r="570" spans="1:21" ht="15" customHeight="1" x14ac:dyDescent="0.35">
      <c r="A570" s="218" t="s">
        <v>2845</v>
      </c>
      <c r="B570" s="3">
        <v>534</v>
      </c>
      <c r="C570" s="44">
        <v>10018357</v>
      </c>
      <c r="D570" s="18" t="s">
        <v>1543</v>
      </c>
      <c r="E570" s="18" t="s">
        <v>2027</v>
      </c>
      <c r="F570" s="12">
        <v>5</v>
      </c>
      <c r="G570" s="3" t="s">
        <v>0</v>
      </c>
      <c r="H570" s="39">
        <v>40016</v>
      </c>
      <c r="I570" s="27" t="s">
        <v>984</v>
      </c>
      <c r="J570" s="4" t="s">
        <v>1962</v>
      </c>
      <c r="K570" s="4" t="s">
        <v>988</v>
      </c>
      <c r="L570" s="29" t="s">
        <v>977</v>
      </c>
      <c r="M570" s="78">
        <f t="shared" si="120"/>
        <v>11758</v>
      </c>
      <c r="N570" s="78">
        <f t="shared" si="117"/>
        <v>2351.6</v>
      </c>
      <c r="O570" s="78">
        <v>11758</v>
      </c>
      <c r="P570" s="72">
        <v>11830</v>
      </c>
      <c r="Q570" s="256">
        <f t="shared" si="118"/>
        <v>2602.6</v>
      </c>
      <c r="R570" s="256">
        <f t="shared" si="119"/>
        <v>14432.6</v>
      </c>
      <c r="S570" s="296"/>
      <c r="T570" s="3">
        <v>33</v>
      </c>
      <c r="U570" s="294"/>
    </row>
    <row r="571" spans="1:21" ht="15" customHeight="1" x14ac:dyDescent="0.35">
      <c r="A571" s="218" t="s">
        <v>2846</v>
      </c>
      <c r="B571" s="3">
        <v>535</v>
      </c>
      <c r="C571" s="44">
        <v>10054104</v>
      </c>
      <c r="D571" s="18" t="s">
        <v>1544</v>
      </c>
      <c r="E571" s="18" t="s">
        <v>2027</v>
      </c>
      <c r="F571" s="12">
        <v>2</v>
      </c>
      <c r="G571" s="3" t="s">
        <v>0</v>
      </c>
      <c r="H571" s="39">
        <v>39773</v>
      </c>
      <c r="I571" s="27" t="s">
        <v>984</v>
      </c>
      <c r="J571" s="4" t="s">
        <v>1962</v>
      </c>
      <c r="K571" s="4" t="s">
        <v>988</v>
      </c>
      <c r="L571" s="29" t="s">
        <v>977</v>
      </c>
      <c r="M571" s="78">
        <f t="shared" si="120"/>
        <v>1841.94</v>
      </c>
      <c r="N571" s="78">
        <f t="shared" si="117"/>
        <v>920.97</v>
      </c>
      <c r="O571" s="78">
        <v>1841.94</v>
      </c>
      <c r="P571" s="72">
        <v>1880</v>
      </c>
      <c r="Q571" s="256">
        <f t="shared" si="118"/>
        <v>413.6</v>
      </c>
      <c r="R571" s="256">
        <f t="shared" si="119"/>
        <v>2293.6</v>
      </c>
      <c r="S571" s="296"/>
      <c r="T571" s="3">
        <v>33</v>
      </c>
      <c r="U571" s="294"/>
    </row>
    <row r="572" spans="1:21" ht="15" customHeight="1" x14ac:dyDescent="0.35">
      <c r="A572" s="218" t="s">
        <v>2847</v>
      </c>
      <c r="B572" s="3">
        <v>536</v>
      </c>
      <c r="C572" s="44">
        <v>10106011</v>
      </c>
      <c r="D572" s="18" t="s">
        <v>1545</v>
      </c>
      <c r="E572" s="18" t="s">
        <v>2027</v>
      </c>
      <c r="F572" s="12">
        <v>10</v>
      </c>
      <c r="G572" s="3" t="s">
        <v>0</v>
      </c>
      <c r="H572" s="39">
        <v>41431</v>
      </c>
      <c r="I572" s="27" t="s">
        <v>984</v>
      </c>
      <c r="J572" s="4" t="s">
        <v>1962</v>
      </c>
      <c r="K572" s="4" t="s">
        <v>988</v>
      </c>
      <c r="L572" s="29" t="s">
        <v>977</v>
      </c>
      <c r="M572" s="78">
        <f t="shared" si="120"/>
        <v>37754.230000000003</v>
      </c>
      <c r="N572" s="78">
        <f t="shared" si="117"/>
        <v>3775.42</v>
      </c>
      <c r="O572" s="78">
        <v>37754.230000000003</v>
      </c>
      <c r="P572" s="72">
        <v>32860</v>
      </c>
      <c r="Q572" s="256">
        <f t="shared" si="118"/>
        <v>7229.2</v>
      </c>
      <c r="R572" s="256">
        <f t="shared" si="119"/>
        <v>40089.199999999997</v>
      </c>
      <c r="S572" s="296"/>
      <c r="T572" s="3">
        <v>33</v>
      </c>
      <c r="U572" s="294"/>
    </row>
    <row r="573" spans="1:21" ht="15" customHeight="1" x14ac:dyDescent="0.35">
      <c r="A573" s="218" t="s">
        <v>2848</v>
      </c>
      <c r="B573" s="3">
        <v>537</v>
      </c>
      <c r="C573" s="44">
        <v>10151825</v>
      </c>
      <c r="D573" s="18" t="s">
        <v>1546</v>
      </c>
      <c r="E573" s="18" t="s">
        <v>2027</v>
      </c>
      <c r="F573" s="12">
        <v>4</v>
      </c>
      <c r="G573" s="3" t="s">
        <v>0</v>
      </c>
      <c r="H573" s="39">
        <v>41486</v>
      </c>
      <c r="I573" s="27" t="s">
        <v>984</v>
      </c>
      <c r="J573" s="4" t="s">
        <v>1962</v>
      </c>
      <c r="K573" s="4" t="s">
        <v>988</v>
      </c>
      <c r="L573" s="29" t="s">
        <v>977</v>
      </c>
      <c r="M573" s="78">
        <f t="shared" si="120"/>
        <v>88560</v>
      </c>
      <c r="N573" s="78">
        <f t="shared" si="117"/>
        <v>22140</v>
      </c>
      <c r="O573" s="78">
        <v>88560</v>
      </c>
      <c r="P573" s="72">
        <v>77160</v>
      </c>
      <c r="Q573" s="256">
        <f t="shared" si="118"/>
        <v>16975.2</v>
      </c>
      <c r="R573" s="256">
        <f t="shared" si="119"/>
        <v>94135.2</v>
      </c>
      <c r="S573" s="296"/>
      <c r="T573" s="3">
        <v>33</v>
      </c>
      <c r="U573" s="294"/>
    </row>
    <row r="574" spans="1:21" ht="15" customHeight="1" x14ac:dyDescent="0.35">
      <c r="A574" s="218" t="s">
        <v>2849</v>
      </c>
      <c r="B574" s="3">
        <v>538</v>
      </c>
      <c r="C574" s="44">
        <v>10017806</v>
      </c>
      <c r="D574" s="18" t="s">
        <v>1547</v>
      </c>
      <c r="E574" s="18" t="s">
        <v>2027</v>
      </c>
      <c r="F574" s="12">
        <v>42</v>
      </c>
      <c r="G574" s="3" t="s">
        <v>0</v>
      </c>
      <c r="H574" s="39">
        <v>39521</v>
      </c>
      <c r="I574" s="27" t="s">
        <v>984</v>
      </c>
      <c r="J574" s="4" t="s">
        <v>1962</v>
      </c>
      <c r="K574" s="4" t="s">
        <v>988</v>
      </c>
      <c r="L574" s="29" t="s">
        <v>977</v>
      </c>
      <c r="M574" s="78">
        <f t="shared" si="120"/>
        <v>25623.46</v>
      </c>
      <c r="N574" s="78">
        <f t="shared" si="117"/>
        <v>610.08000000000004</v>
      </c>
      <c r="O574" s="78">
        <v>25623.46</v>
      </c>
      <c r="P574" s="72">
        <v>27810</v>
      </c>
      <c r="Q574" s="256">
        <f t="shared" si="118"/>
        <v>6118.2</v>
      </c>
      <c r="R574" s="256">
        <f t="shared" si="119"/>
        <v>33928.199999999997</v>
      </c>
      <c r="S574" s="296"/>
      <c r="T574" s="3">
        <v>33</v>
      </c>
      <c r="U574" s="294"/>
    </row>
    <row r="575" spans="1:21" ht="15" customHeight="1" x14ac:dyDescent="0.35">
      <c r="A575" s="218" t="s">
        <v>2850</v>
      </c>
      <c r="B575" s="3">
        <v>539</v>
      </c>
      <c r="C575" s="44">
        <v>10029956</v>
      </c>
      <c r="D575" s="18" t="s">
        <v>1548</v>
      </c>
      <c r="E575" s="18" t="s">
        <v>2219</v>
      </c>
      <c r="F575" s="12">
        <f>4-1</f>
        <v>3</v>
      </c>
      <c r="G575" s="3" t="s">
        <v>0</v>
      </c>
      <c r="H575" s="39">
        <v>41431</v>
      </c>
      <c r="I575" s="27" t="s">
        <v>984</v>
      </c>
      <c r="J575" s="4" t="s">
        <v>1962</v>
      </c>
      <c r="K575" s="4" t="s">
        <v>988</v>
      </c>
      <c r="L575" s="29" t="s">
        <v>977</v>
      </c>
      <c r="M575" s="78">
        <f t="shared" si="120"/>
        <v>7029.66</v>
      </c>
      <c r="N575" s="78">
        <f t="shared" si="117"/>
        <v>2343.2199999999998</v>
      </c>
      <c r="O575" s="78">
        <f>9372.88/4*3</f>
        <v>7029.66</v>
      </c>
      <c r="P575" s="72">
        <v>6120</v>
      </c>
      <c r="Q575" s="256">
        <f t="shared" si="118"/>
        <v>1346.4</v>
      </c>
      <c r="R575" s="256">
        <f t="shared" si="119"/>
        <v>7466.4</v>
      </c>
      <c r="S575" s="296"/>
      <c r="T575" s="3">
        <v>33</v>
      </c>
      <c r="U575" s="294"/>
    </row>
    <row r="576" spans="1:21" ht="15" customHeight="1" x14ac:dyDescent="0.35">
      <c r="A576" s="218" t="s">
        <v>2851</v>
      </c>
      <c r="B576" s="3">
        <v>540</v>
      </c>
      <c r="C576" s="44">
        <v>10018618</v>
      </c>
      <c r="D576" s="18" t="s">
        <v>1549</v>
      </c>
      <c r="E576" s="18" t="s">
        <v>2027</v>
      </c>
      <c r="F576" s="12">
        <v>2</v>
      </c>
      <c r="G576" s="3" t="s">
        <v>0</v>
      </c>
      <c r="H576" s="39">
        <v>39626</v>
      </c>
      <c r="I576" s="27" t="s">
        <v>984</v>
      </c>
      <c r="J576" s="4" t="s">
        <v>1962</v>
      </c>
      <c r="K576" s="4" t="s">
        <v>988</v>
      </c>
      <c r="L576" s="29" t="s">
        <v>977</v>
      </c>
      <c r="M576" s="78">
        <f t="shared" si="120"/>
        <v>10172.049999999999</v>
      </c>
      <c r="N576" s="78">
        <f t="shared" si="117"/>
        <v>5086.03</v>
      </c>
      <c r="O576" s="78">
        <v>10172.049999999999</v>
      </c>
      <c r="P576" s="72">
        <v>10840</v>
      </c>
      <c r="Q576" s="256">
        <f t="shared" si="118"/>
        <v>2384.8000000000002</v>
      </c>
      <c r="R576" s="256">
        <f t="shared" si="119"/>
        <v>13224.8</v>
      </c>
      <c r="S576" s="296"/>
      <c r="T576" s="3">
        <v>33</v>
      </c>
      <c r="U576" s="294"/>
    </row>
    <row r="577" spans="1:21" ht="15" customHeight="1" x14ac:dyDescent="0.35">
      <c r="A577" s="218" t="s">
        <v>2852</v>
      </c>
      <c r="B577" s="3">
        <v>541</v>
      </c>
      <c r="C577" s="44">
        <v>10138459</v>
      </c>
      <c r="D577" s="18" t="s">
        <v>1554</v>
      </c>
      <c r="E577" s="18" t="s">
        <v>2027</v>
      </c>
      <c r="F577" s="12">
        <v>3</v>
      </c>
      <c r="G577" s="3" t="s">
        <v>0</v>
      </c>
      <c r="H577" s="39">
        <v>41789</v>
      </c>
      <c r="I577" s="27" t="s">
        <v>984</v>
      </c>
      <c r="J577" s="4" t="s">
        <v>1962</v>
      </c>
      <c r="K577" s="4" t="s">
        <v>988</v>
      </c>
      <c r="L577" s="29" t="s">
        <v>977</v>
      </c>
      <c r="M577" s="78">
        <f t="shared" si="120"/>
        <v>108943.74</v>
      </c>
      <c r="N577" s="78">
        <f t="shared" si="117"/>
        <v>36314.58</v>
      </c>
      <c r="O577" s="78">
        <v>108943.74</v>
      </c>
      <c r="P577" s="72">
        <v>92850</v>
      </c>
      <c r="Q577" s="256">
        <f t="shared" si="118"/>
        <v>20427</v>
      </c>
      <c r="R577" s="256">
        <f t="shared" si="119"/>
        <v>113277</v>
      </c>
      <c r="S577" s="296"/>
      <c r="T577" s="3">
        <v>33</v>
      </c>
      <c r="U577" s="294"/>
    </row>
    <row r="578" spans="1:21" ht="15" customHeight="1" x14ac:dyDescent="0.35">
      <c r="A578" s="218" t="s">
        <v>2853</v>
      </c>
      <c r="B578" s="3">
        <v>542</v>
      </c>
      <c r="C578" s="44">
        <v>10110062</v>
      </c>
      <c r="D578" s="18" t="s">
        <v>1557</v>
      </c>
      <c r="E578" s="18" t="s">
        <v>2027</v>
      </c>
      <c r="F578" s="12">
        <v>8</v>
      </c>
      <c r="G578" s="3" t="s">
        <v>0</v>
      </c>
      <c r="H578" s="39">
        <v>41122</v>
      </c>
      <c r="I578" s="27" t="s">
        <v>984</v>
      </c>
      <c r="J578" s="4" t="s">
        <v>1962</v>
      </c>
      <c r="K578" s="4" t="s">
        <v>988</v>
      </c>
      <c r="L578" s="29" t="s">
        <v>977</v>
      </c>
      <c r="M578" s="78">
        <f t="shared" si="120"/>
        <v>84088</v>
      </c>
      <c r="N578" s="78">
        <f t="shared" si="117"/>
        <v>10511</v>
      </c>
      <c r="O578" s="78">
        <v>84088</v>
      </c>
      <c r="P578" s="72">
        <v>73140</v>
      </c>
      <c r="Q578" s="256">
        <f t="shared" si="118"/>
        <v>16090.8</v>
      </c>
      <c r="R578" s="256">
        <f t="shared" si="119"/>
        <v>89230.8</v>
      </c>
      <c r="S578" s="296"/>
      <c r="T578" s="3">
        <v>33</v>
      </c>
      <c r="U578" s="294"/>
    </row>
    <row r="579" spans="1:21" ht="15" customHeight="1" x14ac:dyDescent="0.35">
      <c r="A579" s="218" t="s">
        <v>2854</v>
      </c>
      <c r="B579" s="3">
        <v>543</v>
      </c>
      <c r="C579" s="44">
        <v>10017808</v>
      </c>
      <c r="D579" s="18" t="s">
        <v>1560</v>
      </c>
      <c r="E579" s="18" t="s">
        <v>2027</v>
      </c>
      <c r="F579" s="12">
        <v>3</v>
      </c>
      <c r="G579" s="3" t="s">
        <v>0</v>
      </c>
      <c r="H579" s="39">
        <v>39521</v>
      </c>
      <c r="I579" s="27" t="s">
        <v>984</v>
      </c>
      <c r="J579" s="4" t="s">
        <v>1962</v>
      </c>
      <c r="K579" s="4" t="s">
        <v>988</v>
      </c>
      <c r="L579" s="29" t="s">
        <v>977</v>
      </c>
      <c r="M579" s="78">
        <v>5882.4</v>
      </c>
      <c r="N579" s="78">
        <v>1960.8</v>
      </c>
      <c r="O579" s="78">
        <v>5882.4</v>
      </c>
      <c r="P579" s="72">
        <v>6380</v>
      </c>
      <c r="Q579" s="256">
        <f t="shared" si="118"/>
        <v>1403.6</v>
      </c>
      <c r="R579" s="256">
        <f t="shared" si="119"/>
        <v>7783.6</v>
      </c>
      <c r="S579" s="296"/>
      <c r="T579" s="3">
        <v>33</v>
      </c>
      <c r="U579" s="294"/>
    </row>
    <row r="580" spans="1:21" ht="15" customHeight="1" x14ac:dyDescent="0.35">
      <c r="A580" s="218" t="s">
        <v>2855</v>
      </c>
      <c r="B580" s="3">
        <v>544</v>
      </c>
      <c r="C580" s="44">
        <v>10122909</v>
      </c>
      <c r="D580" s="18" t="s">
        <v>1560</v>
      </c>
      <c r="E580" s="18" t="s">
        <v>2027</v>
      </c>
      <c r="F580" s="12">
        <v>5</v>
      </c>
      <c r="G580" s="3" t="s">
        <v>0</v>
      </c>
      <c r="H580" s="39">
        <v>39521</v>
      </c>
      <c r="I580" s="27" t="s">
        <v>984</v>
      </c>
      <c r="J580" s="4" t="s">
        <v>1962</v>
      </c>
      <c r="K580" s="4" t="s">
        <v>988</v>
      </c>
      <c r="L580" s="29" t="s">
        <v>977</v>
      </c>
      <c r="M580" s="78">
        <v>3550</v>
      </c>
      <c r="N580" s="78">
        <v>710</v>
      </c>
      <c r="O580" s="78">
        <v>3550</v>
      </c>
      <c r="P580" s="72">
        <v>3850</v>
      </c>
      <c r="Q580" s="256">
        <f t="shared" si="118"/>
        <v>847</v>
      </c>
      <c r="R580" s="256">
        <f t="shared" si="119"/>
        <v>4697</v>
      </c>
      <c r="S580" s="296"/>
      <c r="T580" s="3">
        <v>33</v>
      </c>
      <c r="U580" s="294"/>
    </row>
    <row r="581" spans="1:21" ht="15" customHeight="1" x14ac:dyDescent="0.35">
      <c r="A581" s="218" t="s">
        <v>2856</v>
      </c>
      <c r="B581" s="3">
        <v>545</v>
      </c>
      <c r="C581" s="44">
        <v>10117267</v>
      </c>
      <c r="D581" s="18" t="s">
        <v>1561</v>
      </c>
      <c r="E581" s="18" t="s">
        <v>2027</v>
      </c>
      <c r="F581" s="12">
        <v>1</v>
      </c>
      <c r="G581" s="3" t="s">
        <v>0</v>
      </c>
      <c r="H581" s="39">
        <v>40470</v>
      </c>
      <c r="I581" s="27" t="s">
        <v>984</v>
      </c>
      <c r="J581" s="4" t="s">
        <v>1962</v>
      </c>
      <c r="K581" s="4" t="s">
        <v>988</v>
      </c>
      <c r="L581" s="29" t="s">
        <v>977</v>
      </c>
      <c r="M581" s="78">
        <v>18191.13</v>
      </c>
      <c r="N581" s="78">
        <v>18191.13</v>
      </c>
      <c r="O581" s="78">
        <v>18191.13</v>
      </c>
      <c r="P581" s="72">
        <v>17280</v>
      </c>
      <c r="Q581" s="256">
        <f t="shared" si="118"/>
        <v>3801.6</v>
      </c>
      <c r="R581" s="256">
        <f t="shared" si="119"/>
        <v>21081.599999999999</v>
      </c>
      <c r="S581" s="296"/>
      <c r="T581" s="3">
        <v>33</v>
      </c>
      <c r="U581" s="294"/>
    </row>
    <row r="582" spans="1:21" ht="15" customHeight="1" x14ac:dyDescent="0.35">
      <c r="A582" s="218" t="s">
        <v>2857</v>
      </c>
      <c r="B582" s="3">
        <v>546</v>
      </c>
      <c r="C582" s="44">
        <v>10127576</v>
      </c>
      <c r="D582" s="18" t="s">
        <v>1563</v>
      </c>
      <c r="E582" s="18" t="s">
        <v>2027</v>
      </c>
      <c r="F582" s="12">
        <v>10</v>
      </c>
      <c r="G582" s="3" t="s">
        <v>0</v>
      </c>
      <c r="H582" s="39">
        <v>40179</v>
      </c>
      <c r="I582" s="27" t="s">
        <v>984</v>
      </c>
      <c r="J582" s="4" t="s">
        <v>1962</v>
      </c>
      <c r="K582" s="4" t="s">
        <v>988</v>
      </c>
      <c r="L582" s="29" t="s">
        <v>977</v>
      </c>
      <c r="M582" s="78">
        <v>359280.11</v>
      </c>
      <c r="N582" s="78">
        <v>35928.01</v>
      </c>
      <c r="O582" s="78">
        <v>359280.11</v>
      </c>
      <c r="P582" s="72">
        <v>361940</v>
      </c>
      <c r="Q582" s="256">
        <f t="shared" si="118"/>
        <v>79626.8</v>
      </c>
      <c r="R582" s="256">
        <f t="shared" si="119"/>
        <v>441566.8</v>
      </c>
      <c r="S582" s="296"/>
      <c r="T582" s="3">
        <v>33</v>
      </c>
      <c r="U582" s="294"/>
    </row>
    <row r="583" spans="1:21" ht="15" customHeight="1" x14ac:dyDescent="0.35">
      <c r="A583" s="218" t="s">
        <v>2858</v>
      </c>
      <c r="B583" s="3">
        <v>547</v>
      </c>
      <c r="C583" s="44">
        <v>10127582</v>
      </c>
      <c r="D583" s="18" t="s">
        <v>1564</v>
      </c>
      <c r="E583" s="18" t="s">
        <v>2027</v>
      </c>
      <c r="F583" s="12">
        <v>20</v>
      </c>
      <c r="G583" s="3" t="s">
        <v>0</v>
      </c>
      <c r="H583" s="39">
        <v>40179</v>
      </c>
      <c r="I583" s="27" t="s">
        <v>984</v>
      </c>
      <c r="J583" s="4" t="s">
        <v>1962</v>
      </c>
      <c r="K583" s="4" t="s">
        <v>988</v>
      </c>
      <c r="L583" s="29" t="s">
        <v>977</v>
      </c>
      <c r="M583" s="78">
        <v>438809.4</v>
      </c>
      <c r="N583" s="78">
        <v>21940.47</v>
      </c>
      <c r="O583" s="78">
        <v>438809.4</v>
      </c>
      <c r="P583" s="72">
        <v>442060</v>
      </c>
      <c r="Q583" s="256">
        <f t="shared" si="118"/>
        <v>97253.2</v>
      </c>
      <c r="R583" s="256">
        <f t="shared" si="119"/>
        <v>539313.19999999995</v>
      </c>
      <c r="S583" s="296"/>
      <c r="T583" s="3">
        <v>33</v>
      </c>
      <c r="U583" s="294"/>
    </row>
    <row r="584" spans="1:21" ht="15" customHeight="1" x14ac:dyDescent="0.35">
      <c r="A584" s="218" t="s">
        <v>2859</v>
      </c>
      <c r="B584" s="3">
        <v>548</v>
      </c>
      <c r="C584" s="44">
        <v>10148669</v>
      </c>
      <c r="D584" s="18" t="s">
        <v>1571</v>
      </c>
      <c r="E584" s="18" t="s">
        <v>2027</v>
      </c>
      <c r="F584" s="12">
        <v>13</v>
      </c>
      <c r="G584" s="3" t="s">
        <v>0</v>
      </c>
      <c r="H584" s="39">
        <v>41640</v>
      </c>
      <c r="I584" s="27" t="s">
        <v>984</v>
      </c>
      <c r="J584" s="4" t="s">
        <v>2257</v>
      </c>
      <c r="K584" s="4" t="s">
        <v>988</v>
      </c>
      <c r="L584" s="29" t="s">
        <v>977</v>
      </c>
      <c r="M584" s="78">
        <v>7770.23</v>
      </c>
      <c r="N584" s="78">
        <v>597.71</v>
      </c>
      <c r="O584" s="78">
        <v>7770.23</v>
      </c>
      <c r="P584" s="72">
        <v>6680</v>
      </c>
      <c r="Q584" s="256">
        <f t="shared" si="118"/>
        <v>1469.6</v>
      </c>
      <c r="R584" s="256">
        <f t="shared" si="119"/>
        <v>8149.6</v>
      </c>
      <c r="S584" s="296"/>
      <c r="T584" s="3">
        <v>33</v>
      </c>
      <c r="U584" s="294"/>
    </row>
    <row r="585" spans="1:21" ht="15" customHeight="1" x14ac:dyDescent="0.35">
      <c r="A585" s="218" t="s">
        <v>2860</v>
      </c>
      <c r="B585" s="3">
        <v>549</v>
      </c>
      <c r="C585" s="44">
        <v>10127824</v>
      </c>
      <c r="D585" s="18" t="s">
        <v>1576</v>
      </c>
      <c r="E585" s="18" t="s">
        <v>2027</v>
      </c>
      <c r="F585" s="12">
        <f>3-1</f>
        <v>2</v>
      </c>
      <c r="G585" s="3" t="s">
        <v>0</v>
      </c>
      <c r="H585" s="39">
        <v>40909</v>
      </c>
      <c r="I585" s="27" t="s">
        <v>984</v>
      </c>
      <c r="J585" s="4" t="s">
        <v>1972</v>
      </c>
      <c r="K585" s="4" t="s">
        <v>988</v>
      </c>
      <c r="L585" s="29" t="s">
        <v>977</v>
      </c>
      <c r="M585" s="78">
        <f t="shared" ref="M585:M635" si="121">O585</f>
        <v>73080</v>
      </c>
      <c r="N585" s="78">
        <f t="shared" ref="N585:N598" si="122">O585/F585</f>
        <v>36540</v>
      </c>
      <c r="O585" s="78">
        <f>109620/3*2</f>
        <v>73080</v>
      </c>
      <c r="P585" s="72">
        <v>63810</v>
      </c>
      <c r="Q585" s="256">
        <f t="shared" si="118"/>
        <v>14038.2</v>
      </c>
      <c r="R585" s="256">
        <f t="shared" si="119"/>
        <v>77848.2</v>
      </c>
      <c r="S585" s="296"/>
      <c r="T585" s="3">
        <v>33</v>
      </c>
      <c r="U585" s="294"/>
    </row>
    <row r="586" spans="1:21" ht="15" customHeight="1" x14ac:dyDescent="0.35">
      <c r="A586" s="218" t="s">
        <v>2861</v>
      </c>
      <c r="B586" s="3">
        <v>550</v>
      </c>
      <c r="C586" s="44">
        <v>10098015</v>
      </c>
      <c r="D586" s="18" t="s">
        <v>1583</v>
      </c>
      <c r="E586" s="18" t="s">
        <v>2027</v>
      </c>
      <c r="F586" s="12">
        <v>5</v>
      </c>
      <c r="G586" s="3" t="s">
        <v>0</v>
      </c>
      <c r="H586" s="39">
        <v>42360</v>
      </c>
      <c r="I586" s="27" t="s">
        <v>984</v>
      </c>
      <c r="J586" s="4" t="s">
        <v>1962</v>
      </c>
      <c r="K586" s="4" t="s">
        <v>988</v>
      </c>
      <c r="L586" s="29" t="s">
        <v>977</v>
      </c>
      <c r="M586" s="78">
        <f t="shared" si="121"/>
        <v>9903.2099999999991</v>
      </c>
      <c r="N586" s="78">
        <f t="shared" si="122"/>
        <v>1980.64</v>
      </c>
      <c r="O586" s="78">
        <v>9903.2099999999991</v>
      </c>
      <c r="P586" s="72">
        <v>7830</v>
      </c>
      <c r="Q586" s="256">
        <f t="shared" si="118"/>
        <v>1722.6</v>
      </c>
      <c r="R586" s="256">
        <f t="shared" si="119"/>
        <v>9552.6</v>
      </c>
      <c r="S586" s="296"/>
      <c r="T586" s="3">
        <v>33</v>
      </c>
      <c r="U586" s="294"/>
    </row>
    <row r="587" spans="1:21" ht="15" customHeight="1" x14ac:dyDescent="0.35">
      <c r="A587" s="218" t="s">
        <v>2862</v>
      </c>
      <c r="B587" s="3">
        <v>551</v>
      </c>
      <c r="C587" s="44">
        <v>102001434</v>
      </c>
      <c r="D587" s="18" t="s">
        <v>1587</v>
      </c>
      <c r="E587" s="18" t="s">
        <v>2027</v>
      </c>
      <c r="F587" s="12">
        <v>2</v>
      </c>
      <c r="G587" s="3" t="s">
        <v>0</v>
      </c>
      <c r="H587" s="20">
        <v>2015</v>
      </c>
      <c r="I587" s="27" t="s">
        <v>984</v>
      </c>
      <c r="J587" s="4" t="s">
        <v>1962</v>
      </c>
      <c r="K587" s="4" t="s">
        <v>988</v>
      </c>
      <c r="L587" s="29" t="s">
        <v>977</v>
      </c>
      <c r="M587" s="78">
        <f t="shared" si="121"/>
        <v>955563.76</v>
      </c>
      <c r="N587" s="78">
        <f t="shared" si="122"/>
        <v>477781.88</v>
      </c>
      <c r="O587" s="78">
        <v>955563.76</v>
      </c>
      <c r="P587" s="72">
        <v>760540</v>
      </c>
      <c r="Q587" s="256">
        <f t="shared" si="118"/>
        <v>167318.79999999999</v>
      </c>
      <c r="R587" s="256">
        <f t="shared" si="119"/>
        <v>927858.8</v>
      </c>
      <c r="S587" s="296"/>
      <c r="T587" s="3">
        <v>33</v>
      </c>
      <c r="U587" s="294"/>
    </row>
    <row r="588" spans="1:21" ht="15" customHeight="1" x14ac:dyDescent="0.35">
      <c r="A588" s="218" t="s">
        <v>2863</v>
      </c>
      <c r="B588" s="3">
        <v>552</v>
      </c>
      <c r="C588" s="44">
        <v>10103021</v>
      </c>
      <c r="D588" s="18" t="s">
        <v>1588</v>
      </c>
      <c r="E588" s="18" t="s">
        <v>2027</v>
      </c>
      <c r="F588" s="12">
        <v>2</v>
      </c>
      <c r="G588" s="3" t="s">
        <v>0</v>
      </c>
      <c r="H588" s="39">
        <v>39814</v>
      </c>
      <c r="I588" s="27" t="s">
        <v>984</v>
      </c>
      <c r="J588" s="4" t="s">
        <v>1998</v>
      </c>
      <c r="K588" s="4" t="s">
        <v>988</v>
      </c>
      <c r="L588" s="29" t="s">
        <v>977</v>
      </c>
      <c r="M588" s="78">
        <f t="shared" si="121"/>
        <v>2490</v>
      </c>
      <c r="N588" s="78">
        <f t="shared" si="122"/>
        <v>1245</v>
      </c>
      <c r="O588" s="78">
        <v>2490</v>
      </c>
      <c r="P588" s="72">
        <v>2510</v>
      </c>
      <c r="Q588" s="256">
        <f t="shared" si="118"/>
        <v>552.20000000000005</v>
      </c>
      <c r="R588" s="256">
        <f t="shared" si="119"/>
        <v>3062.2</v>
      </c>
      <c r="S588" s="296"/>
      <c r="T588" s="3">
        <v>33</v>
      </c>
      <c r="U588" s="294"/>
    </row>
    <row r="589" spans="1:21" ht="15" customHeight="1" x14ac:dyDescent="0.35">
      <c r="A589" s="218" t="s">
        <v>2864</v>
      </c>
      <c r="B589" s="3">
        <v>553</v>
      </c>
      <c r="C589" s="44">
        <v>10102939</v>
      </c>
      <c r="D589" s="18" t="s">
        <v>1589</v>
      </c>
      <c r="E589" s="18" t="s">
        <v>2027</v>
      </c>
      <c r="F589" s="12">
        <v>9</v>
      </c>
      <c r="G589" s="3" t="s">
        <v>0</v>
      </c>
      <c r="H589" s="39">
        <v>39814</v>
      </c>
      <c r="I589" s="27" t="s">
        <v>984</v>
      </c>
      <c r="J589" s="4" t="s">
        <v>1998</v>
      </c>
      <c r="K589" s="4" t="s">
        <v>988</v>
      </c>
      <c r="L589" s="29" t="s">
        <v>977</v>
      </c>
      <c r="M589" s="78">
        <f t="shared" si="121"/>
        <v>10532.29</v>
      </c>
      <c r="N589" s="78">
        <f t="shared" si="122"/>
        <v>1170.25</v>
      </c>
      <c r="O589" s="78">
        <v>10532.29</v>
      </c>
      <c r="P589" s="72">
        <v>10620</v>
      </c>
      <c r="Q589" s="256">
        <f t="shared" si="118"/>
        <v>2336.4</v>
      </c>
      <c r="R589" s="256">
        <f t="shared" si="119"/>
        <v>12956.4</v>
      </c>
      <c r="S589" s="296"/>
      <c r="T589" s="3">
        <v>33</v>
      </c>
      <c r="U589" s="294"/>
    </row>
    <row r="590" spans="1:21" ht="15" customHeight="1" x14ac:dyDescent="0.35">
      <c r="A590" s="218" t="s">
        <v>2865</v>
      </c>
      <c r="B590" s="3">
        <v>554</v>
      </c>
      <c r="C590" s="44">
        <v>10132199</v>
      </c>
      <c r="D590" s="18" t="s">
        <v>1591</v>
      </c>
      <c r="E590" s="18" t="s">
        <v>2027</v>
      </c>
      <c r="F590" s="12">
        <v>1</v>
      </c>
      <c r="G590" s="3" t="s">
        <v>0</v>
      </c>
      <c r="H590" s="39">
        <v>40998</v>
      </c>
      <c r="I590" s="27" t="s">
        <v>984</v>
      </c>
      <c r="J590" s="4" t="s">
        <v>1962</v>
      </c>
      <c r="K590" s="4" t="s">
        <v>988</v>
      </c>
      <c r="L590" s="29" t="s">
        <v>977</v>
      </c>
      <c r="M590" s="78">
        <f t="shared" si="121"/>
        <v>662.74</v>
      </c>
      <c r="N590" s="78">
        <f t="shared" si="122"/>
        <v>662.74</v>
      </c>
      <c r="O590" s="78">
        <v>662.74</v>
      </c>
      <c r="P590" s="72">
        <v>580</v>
      </c>
      <c r="Q590" s="256">
        <f t="shared" si="118"/>
        <v>127.6</v>
      </c>
      <c r="R590" s="256">
        <f t="shared" si="119"/>
        <v>707.6</v>
      </c>
      <c r="S590" s="296"/>
      <c r="T590" s="3">
        <v>33</v>
      </c>
      <c r="U590" s="294"/>
    </row>
    <row r="591" spans="1:21" ht="15" customHeight="1" x14ac:dyDescent="0.35">
      <c r="A591" s="218" t="s">
        <v>2866</v>
      </c>
      <c r="B591" s="3">
        <v>555</v>
      </c>
      <c r="C591" s="44">
        <v>10105332</v>
      </c>
      <c r="D591" s="18" t="s">
        <v>1592</v>
      </c>
      <c r="E591" s="18" t="s">
        <v>2027</v>
      </c>
      <c r="F591" s="12">
        <v>1</v>
      </c>
      <c r="G591" s="3" t="s">
        <v>0</v>
      </c>
      <c r="H591" s="39">
        <v>40380</v>
      </c>
      <c r="I591" s="27" t="s">
        <v>984</v>
      </c>
      <c r="J591" s="4" t="s">
        <v>1962</v>
      </c>
      <c r="K591" s="4" t="s">
        <v>988</v>
      </c>
      <c r="L591" s="29" t="s">
        <v>977</v>
      </c>
      <c r="M591" s="78">
        <f t="shared" si="121"/>
        <v>3290.97</v>
      </c>
      <c r="N591" s="78">
        <f t="shared" si="122"/>
        <v>3290.97</v>
      </c>
      <c r="O591" s="78">
        <v>3290.97</v>
      </c>
      <c r="P591" s="72">
        <v>3120</v>
      </c>
      <c r="Q591" s="256">
        <f t="shared" ref="Q591:Q622" si="123">R591-P591</f>
        <v>686.4</v>
      </c>
      <c r="R591" s="256">
        <f t="shared" ref="R591:R622" si="124">P591*1.22</f>
        <v>3806.4</v>
      </c>
      <c r="S591" s="296"/>
      <c r="T591" s="3">
        <v>33</v>
      </c>
      <c r="U591" s="294"/>
    </row>
    <row r="592" spans="1:21" ht="15" customHeight="1" x14ac:dyDescent="0.35">
      <c r="A592" s="218" t="s">
        <v>2867</v>
      </c>
      <c r="B592" s="3">
        <v>556</v>
      </c>
      <c r="C592" s="44">
        <v>10151814</v>
      </c>
      <c r="D592" s="18" t="s">
        <v>1593</v>
      </c>
      <c r="E592" s="18" t="s">
        <v>2027</v>
      </c>
      <c r="F592" s="12">
        <v>1</v>
      </c>
      <c r="G592" s="3" t="s">
        <v>0</v>
      </c>
      <c r="H592" s="39">
        <v>39083</v>
      </c>
      <c r="I592" s="27" t="s">
        <v>984</v>
      </c>
      <c r="J592" s="4" t="s">
        <v>1972</v>
      </c>
      <c r="K592" s="4" t="s">
        <v>988</v>
      </c>
      <c r="L592" s="29" t="s">
        <v>977</v>
      </c>
      <c r="M592" s="78">
        <f t="shared" si="121"/>
        <v>35410.93</v>
      </c>
      <c r="N592" s="78">
        <f t="shared" si="122"/>
        <v>35410.93</v>
      </c>
      <c r="O592" s="78">
        <v>35410.93</v>
      </c>
      <c r="P592" s="72">
        <v>44520</v>
      </c>
      <c r="Q592" s="256">
        <f t="shared" si="123"/>
        <v>9794.4</v>
      </c>
      <c r="R592" s="256">
        <f t="shared" si="124"/>
        <v>54314.400000000001</v>
      </c>
      <c r="S592" s="296"/>
      <c r="T592" s="3">
        <v>33</v>
      </c>
      <c r="U592" s="294"/>
    </row>
    <row r="593" spans="1:21" ht="15" customHeight="1" x14ac:dyDescent="0.35">
      <c r="A593" s="218" t="s">
        <v>2868</v>
      </c>
      <c r="B593" s="3">
        <v>557</v>
      </c>
      <c r="C593" s="44">
        <v>102001109</v>
      </c>
      <c r="D593" s="18" t="s">
        <v>1602</v>
      </c>
      <c r="E593" s="18" t="s">
        <v>2027</v>
      </c>
      <c r="F593" s="12">
        <v>1</v>
      </c>
      <c r="G593" s="3" t="s">
        <v>0</v>
      </c>
      <c r="H593" s="3">
        <v>2015</v>
      </c>
      <c r="I593" s="27" t="s">
        <v>984</v>
      </c>
      <c r="J593" s="4" t="s">
        <v>1962</v>
      </c>
      <c r="K593" s="4" t="s">
        <v>988</v>
      </c>
      <c r="L593" s="29" t="s">
        <v>977</v>
      </c>
      <c r="M593" s="78">
        <f t="shared" si="121"/>
        <v>76658.399999999994</v>
      </c>
      <c r="N593" s="78">
        <f t="shared" si="122"/>
        <v>76658.399999999994</v>
      </c>
      <c r="O593" s="78">
        <v>76658.399999999994</v>
      </c>
      <c r="P593" s="72">
        <v>61010</v>
      </c>
      <c r="Q593" s="256">
        <f t="shared" si="123"/>
        <v>13422.2</v>
      </c>
      <c r="R593" s="256">
        <f t="shared" si="124"/>
        <v>74432.2</v>
      </c>
      <c r="S593" s="296"/>
      <c r="T593" s="3">
        <v>33</v>
      </c>
      <c r="U593" s="294"/>
    </row>
    <row r="594" spans="1:21" ht="15" customHeight="1" x14ac:dyDescent="0.35">
      <c r="A594" s="218" t="s">
        <v>2869</v>
      </c>
      <c r="B594" s="3">
        <v>558</v>
      </c>
      <c r="C594" s="44">
        <v>102000806</v>
      </c>
      <c r="D594" s="18" t="s">
        <v>1603</v>
      </c>
      <c r="E594" s="18" t="s">
        <v>2027</v>
      </c>
      <c r="F594" s="12">
        <v>1</v>
      </c>
      <c r="G594" s="3" t="s">
        <v>0</v>
      </c>
      <c r="H594" s="3">
        <v>2015</v>
      </c>
      <c r="I594" s="27" t="s">
        <v>984</v>
      </c>
      <c r="J594" s="4" t="s">
        <v>1962</v>
      </c>
      <c r="K594" s="4" t="s">
        <v>988</v>
      </c>
      <c r="L594" s="29" t="s">
        <v>977</v>
      </c>
      <c r="M594" s="78">
        <f t="shared" si="121"/>
        <v>60113.56</v>
      </c>
      <c r="N594" s="78">
        <f t="shared" si="122"/>
        <v>60113.56</v>
      </c>
      <c r="O594" s="78">
        <v>60113.56</v>
      </c>
      <c r="P594" s="72">
        <v>47840</v>
      </c>
      <c r="Q594" s="256">
        <f t="shared" si="123"/>
        <v>10524.8</v>
      </c>
      <c r="R594" s="256">
        <f t="shared" si="124"/>
        <v>58364.800000000003</v>
      </c>
      <c r="S594" s="296"/>
      <c r="T594" s="3">
        <v>33</v>
      </c>
      <c r="U594" s="294"/>
    </row>
    <row r="595" spans="1:21" ht="15" customHeight="1" x14ac:dyDescent="0.35">
      <c r="A595" s="218" t="s">
        <v>2870</v>
      </c>
      <c r="B595" s="3">
        <v>559</v>
      </c>
      <c r="C595" s="44">
        <v>10132240</v>
      </c>
      <c r="D595" s="18" t="s">
        <v>1625</v>
      </c>
      <c r="E595" s="18" t="s">
        <v>2027</v>
      </c>
      <c r="F595" s="12">
        <v>1</v>
      </c>
      <c r="G595" s="3" t="s">
        <v>0</v>
      </c>
      <c r="H595" s="39">
        <v>40999</v>
      </c>
      <c r="I595" s="27" t="s">
        <v>984</v>
      </c>
      <c r="J595" s="4" t="s">
        <v>1962</v>
      </c>
      <c r="K595" s="4" t="s">
        <v>988</v>
      </c>
      <c r="L595" s="29" t="s">
        <v>977</v>
      </c>
      <c r="M595" s="78">
        <f t="shared" si="121"/>
        <v>590.88</v>
      </c>
      <c r="N595" s="78">
        <f t="shared" si="122"/>
        <v>590.88</v>
      </c>
      <c r="O595" s="78">
        <v>590.88</v>
      </c>
      <c r="P595" s="72">
        <v>510</v>
      </c>
      <c r="Q595" s="256">
        <f t="shared" si="123"/>
        <v>112.2</v>
      </c>
      <c r="R595" s="256">
        <f t="shared" si="124"/>
        <v>622.20000000000005</v>
      </c>
      <c r="S595" s="296"/>
      <c r="T595" s="3">
        <v>33</v>
      </c>
      <c r="U595" s="294"/>
    </row>
    <row r="596" spans="1:21" ht="15" customHeight="1" x14ac:dyDescent="0.35">
      <c r="A596" s="218" t="s">
        <v>2871</v>
      </c>
      <c r="B596" s="3">
        <v>560</v>
      </c>
      <c r="C596" s="44">
        <v>10138655</v>
      </c>
      <c r="D596" s="18" t="s">
        <v>1637</v>
      </c>
      <c r="E596" s="18" t="s">
        <v>2027</v>
      </c>
      <c r="F596" s="12">
        <v>1</v>
      </c>
      <c r="G596" s="3" t="s">
        <v>0</v>
      </c>
      <c r="H596" s="39">
        <v>41431</v>
      </c>
      <c r="I596" s="27" t="s">
        <v>984</v>
      </c>
      <c r="J596" s="4" t="s">
        <v>1962</v>
      </c>
      <c r="K596" s="4" t="s">
        <v>988</v>
      </c>
      <c r="L596" s="29" t="s">
        <v>977</v>
      </c>
      <c r="M596" s="78">
        <f t="shared" si="121"/>
        <v>27240</v>
      </c>
      <c r="N596" s="78">
        <f t="shared" si="122"/>
        <v>27240</v>
      </c>
      <c r="O596" s="78">
        <v>27240</v>
      </c>
      <c r="P596" s="72">
        <v>23710</v>
      </c>
      <c r="Q596" s="256">
        <f t="shared" si="123"/>
        <v>5216.2</v>
      </c>
      <c r="R596" s="256">
        <f t="shared" si="124"/>
        <v>28926.2</v>
      </c>
      <c r="S596" s="296"/>
      <c r="T596" s="3">
        <v>33</v>
      </c>
      <c r="U596" s="294"/>
    </row>
    <row r="597" spans="1:21" ht="15" customHeight="1" x14ac:dyDescent="0.35">
      <c r="A597" s="218" t="s">
        <v>2872</v>
      </c>
      <c r="B597" s="3">
        <v>561</v>
      </c>
      <c r="C597" s="44">
        <v>10151838</v>
      </c>
      <c r="D597" s="18" t="s">
        <v>1638</v>
      </c>
      <c r="E597" s="18" t="s">
        <v>2027</v>
      </c>
      <c r="F597" s="12">
        <v>1</v>
      </c>
      <c r="G597" s="3" t="s">
        <v>0</v>
      </c>
      <c r="H597" s="39">
        <v>41789</v>
      </c>
      <c r="I597" s="27" t="s">
        <v>984</v>
      </c>
      <c r="J597" s="4" t="s">
        <v>1962</v>
      </c>
      <c r="K597" s="4" t="s">
        <v>988</v>
      </c>
      <c r="L597" s="29" t="s">
        <v>977</v>
      </c>
      <c r="M597" s="78">
        <f t="shared" si="121"/>
        <v>30760</v>
      </c>
      <c r="N597" s="78">
        <f t="shared" si="122"/>
        <v>30760</v>
      </c>
      <c r="O597" s="78">
        <v>30760</v>
      </c>
      <c r="P597" s="72">
        <v>26220</v>
      </c>
      <c r="Q597" s="256">
        <f t="shared" si="123"/>
        <v>5768.4</v>
      </c>
      <c r="R597" s="256">
        <f t="shared" si="124"/>
        <v>31988.400000000001</v>
      </c>
      <c r="S597" s="296"/>
      <c r="T597" s="3">
        <v>33</v>
      </c>
      <c r="U597" s="294"/>
    </row>
    <row r="598" spans="1:21" ht="15" customHeight="1" x14ac:dyDescent="0.35">
      <c r="A598" s="218" t="s">
        <v>2873</v>
      </c>
      <c r="B598" s="3">
        <v>562</v>
      </c>
      <c r="C598" s="44">
        <v>10151789</v>
      </c>
      <c r="D598" s="18" t="s">
        <v>1639</v>
      </c>
      <c r="E598" s="18" t="s">
        <v>2027</v>
      </c>
      <c r="F598" s="12">
        <v>1</v>
      </c>
      <c r="G598" s="3" t="s">
        <v>0</v>
      </c>
      <c r="H598" s="39">
        <v>41789</v>
      </c>
      <c r="I598" s="27" t="s">
        <v>984</v>
      </c>
      <c r="J598" s="4" t="s">
        <v>1962</v>
      </c>
      <c r="K598" s="4" t="s">
        <v>988</v>
      </c>
      <c r="L598" s="29" t="s">
        <v>977</v>
      </c>
      <c r="M598" s="78">
        <f t="shared" si="121"/>
        <v>30760</v>
      </c>
      <c r="N598" s="78">
        <f t="shared" si="122"/>
        <v>30760</v>
      </c>
      <c r="O598" s="78">
        <v>30760</v>
      </c>
      <c r="P598" s="72">
        <v>26220</v>
      </c>
      <c r="Q598" s="256">
        <f t="shared" si="123"/>
        <v>5768.4</v>
      </c>
      <c r="R598" s="256">
        <f t="shared" si="124"/>
        <v>31988.400000000001</v>
      </c>
      <c r="S598" s="296"/>
      <c r="T598" s="3">
        <v>33</v>
      </c>
      <c r="U598" s="294"/>
    </row>
    <row r="599" spans="1:21" ht="15" customHeight="1" x14ac:dyDescent="0.35">
      <c r="A599" s="218" t="s">
        <v>2874</v>
      </c>
      <c r="B599" s="3">
        <v>563</v>
      </c>
      <c r="C599" s="44">
        <v>10151808</v>
      </c>
      <c r="D599" s="18" t="s">
        <v>1640</v>
      </c>
      <c r="E599" s="18" t="s">
        <v>2027</v>
      </c>
      <c r="F599" s="12">
        <v>1</v>
      </c>
      <c r="G599" s="3" t="s">
        <v>0</v>
      </c>
      <c r="H599" s="39">
        <v>41789</v>
      </c>
      <c r="I599" s="27" t="s">
        <v>984</v>
      </c>
      <c r="J599" s="4" t="s">
        <v>1962</v>
      </c>
      <c r="K599" s="4" t="s">
        <v>988</v>
      </c>
      <c r="L599" s="29" t="s">
        <v>977</v>
      </c>
      <c r="M599" s="78">
        <f t="shared" si="121"/>
        <v>7033</v>
      </c>
      <c r="N599" s="78">
        <f t="shared" ref="N599:N627" si="125">O599/F599</f>
        <v>7033</v>
      </c>
      <c r="O599" s="78">
        <v>7033</v>
      </c>
      <c r="P599" s="72">
        <v>5990</v>
      </c>
      <c r="Q599" s="256">
        <f t="shared" si="123"/>
        <v>1317.8</v>
      </c>
      <c r="R599" s="256">
        <f t="shared" si="124"/>
        <v>7307.8</v>
      </c>
      <c r="S599" s="296"/>
      <c r="T599" s="3">
        <v>33</v>
      </c>
      <c r="U599" s="294"/>
    </row>
    <row r="600" spans="1:21" ht="15" customHeight="1" x14ac:dyDescent="0.35">
      <c r="A600" s="218" t="s">
        <v>2875</v>
      </c>
      <c r="B600" s="3">
        <v>564</v>
      </c>
      <c r="C600" s="44">
        <v>10151813</v>
      </c>
      <c r="D600" s="18" t="s">
        <v>1641</v>
      </c>
      <c r="E600" s="18" t="s">
        <v>2027</v>
      </c>
      <c r="F600" s="12">
        <v>1</v>
      </c>
      <c r="G600" s="3" t="s">
        <v>0</v>
      </c>
      <c r="H600" s="39">
        <v>41789</v>
      </c>
      <c r="I600" s="27" t="s">
        <v>984</v>
      </c>
      <c r="J600" s="4" t="s">
        <v>1962</v>
      </c>
      <c r="K600" s="4" t="s">
        <v>988</v>
      </c>
      <c r="L600" s="29" t="s">
        <v>977</v>
      </c>
      <c r="M600" s="78">
        <f t="shared" si="121"/>
        <v>7033</v>
      </c>
      <c r="N600" s="78">
        <f t="shared" si="125"/>
        <v>7033</v>
      </c>
      <c r="O600" s="78">
        <v>7033</v>
      </c>
      <c r="P600" s="72">
        <v>5990</v>
      </c>
      <c r="Q600" s="256">
        <f t="shared" si="123"/>
        <v>1317.8</v>
      </c>
      <c r="R600" s="256">
        <f t="shared" si="124"/>
        <v>7307.8</v>
      </c>
      <c r="S600" s="296"/>
      <c r="T600" s="3">
        <v>33</v>
      </c>
      <c r="U600" s="294"/>
    </row>
    <row r="601" spans="1:21" ht="15" customHeight="1" x14ac:dyDescent="0.35">
      <c r="A601" s="218" t="s">
        <v>2876</v>
      </c>
      <c r="B601" s="3">
        <v>565</v>
      </c>
      <c r="C601" s="44">
        <v>102001085</v>
      </c>
      <c r="D601" s="18" t="s">
        <v>1642</v>
      </c>
      <c r="E601" s="18" t="s">
        <v>2027</v>
      </c>
      <c r="F601" s="12">
        <v>2</v>
      </c>
      <c r="G601" s="3" t="s">
        <v>0</v>
      </c>
      <c r="H601" s="3">
        <v>2015</v>
      </c>
      <c r="I601" s="27" t="s">
        <v>984</v>
      </c>
      <c r="J601" s="4" t="s">
        <v>1962</v>
      </c>
      <c r="K601" s="4" t="s">
        <v>988</v>
      </c>
      <c r="L601" s="29" t="s">
        <v>977</v>
      </c>
      <c r="M601" s="78">
        <f t="shared" si="121"/>
        <v>9951.33</v>
      </c>
      <c r="N601" s="78">
        <f t="shared" si="125"/>
        <v>4975.67</v>
      </c>
      <c r="O601" s="78">
        <v>9951.33</v>
      </c>
      <c r="P601" s="72">
        <v>7920</v>
      </c>
      <c r="Q601" s="256">
        <f t="shared" si="123"/>
        <v>1742.4</v>
      </c>
      <c r="R601" s="256">
        <f t="shared" si="124"/>
        <v>9662.4</v>
      </c>
      <c r="S601" s="296"/>
      <c r="T601" s="3">
        <v>33</v>
      </c>
      <c r="U601" s="294"/>
    </row>
    <row r="602" spans="1:21" ht="15" customHeight="1" x14ac:dyDescent="0.35">
      <c r="A602" s="218" t="s">
        <v>2877</v>
      </c>
      <c r="B602" s="3">
        <v>566</v>
      </c>
      <c r="C602" s="44">
        <v>10042125</v>
      </c>
      <c r="D602" s="18" t="s">
        <v>1643</v>
      </c>
      <c r="E602" s="18" t="s">
        <v>2027</v>
      </c>
      <c r="F602" s="12">
        <v>1</v>
      </c>
      <c r="G602" s="3" t="s">
        <v>0</v>
      </c>
      <c r="H602" s="39">
        <v>41431</v>
      </c>
      <c r="I602" s="27" t="s">
        <v>984</v>
      </c>
      <c r="J602" s="4" t="s">
        <v>1962</v>
      </c>
      <c r="K602" s="4" t="s">
        <v>988</v>
      </c>
      <c r="L602" s="29" t="s">
        <v>977</v>
      </c>
      <c r="M602" s="78">
        <f t="shared" si="121"/>
        <v>6363</v>
      </c>
      <c r="N602" s="78">
        <f t="shared" si="125"/>
        <v>6363</v>
      </c>
      <c r="O602" s="78">
        <v>6363</v>
      </c>
      <c r="P602" s="72">
        <v>5540</v>
      </c>
      <c r="Q602" s="256">
        <f t="shared" si="123"/>
        <v>1218.8</v>
      </c>
      <c r="R602" s="256">
        <f t="shared" si="124"/>
        <v>6758.8</v>
      </c>
      <c r="S602" s="296"/>
      <c r="T602" s="3">
        <v>33</v>
      </c>
      <c r="U602" s="294"/>
    </row>
    <row r="603" spans="1:21" ht="15" customHeight="1" x14ac:dyDescent="0.35">
      <c r="A603" s="218" t="s">
        <v>2878</v>
      </c>
      <c r="B603" s="3">
        <v>567</v>
      </c>
      <c r="C603" s="44">
        <v>10119189</v>
      </c>
      <c r="D603" s="18" t="s">
        <v>1648</v>
      </c>
      <c r="E603" s="18" t="s">
        <v>2027</v>
      </c>
      <c r="F603" s="12">
        <v>59</v>
      </c>
      <c r="G603" s="3" t="s">
        <v>0</v>
      </c>
      <c r="H603" s="39">
        <v>41431</v>
      </c>
      <c r="I603" s="27" t="s">
        <v>984</v>
      </c>
      <c r="J603" s="4" t="s">
        <v>1962</v>
      </c>
      <c r="K603" s="4" t="s">
        <v>988</v>
      </c>
      <c r="L603" s="29" t="s">
        <v>977</v>
      </c>
      <c r="M603" s="78">
        <f t="shared" si="121"/>
        <v>3492.3</v>
      </c>
      <c r="N603" s="78">
        <f t="shared" si="125"/>
        <v>59.19</v>
      </c>
      <c r="O603" s="78">
        <v>3492.3</v>
      </c>
      <c r="P603" s="72">
        <v>3040</v>
      </c>
      <c r="Q603" s="256">
        <f t="shared" si="123"/>
        <v>668.8</v>
      </c>
      <c r="R603" s="256">
        <f t="shared" si="124"/>
        <v>3708.8</v>
      </c>
      <c r="S603" s="296"/>
      <c r="T603" s="3">
        <v>33</v>
      </c>
      <c r="U603" s="294"/>
    </row>
    <row r="604" spans="1:21" ht="15" customHeight="1" x14ac:dyDescent="0.35">
      <c r="A604" s="218" t="s">
        <v>2879</v>
      </c>
      <c r="B604" s="3">
        <v>568</v>
      </c>
      <c r="C604" s="44">
        <v>10029363</v>
      </c>
      <c r="D604" s="18" t="s">
        <v>1649</v>
      </c>
      <c r="E604" s="18" t="s">
        <v>2027</v>
      </c>
      <c r="F604" s="12">
        <v>5</v>
      </c>
      <c r="G604" s="3" t="s">
        <v>0</v>
      </c>
      <c r="H604" s="39">
        <v>39356</v>
      </c>
      <c r="I604" s="27" t="s">
        <v>984</v>
      </c>
      <c r="J604" s="4" t="s">
        <v>1962</v>
      </c>
      <c r="K604" s="4" t="s">
        <v>988</v>
      </c>
      <c r="L604" s="29" t="s">
        <v>977</v>
      </c>
      <c r="M604" s="78">
        <f t="shared" si="121"/>
        <v>7270.47</v>
      </c>
      <c r="N604" s="78">
        <f t="shared" si="125"/>
        <v>1454.09</v>
      </c>
      <c r="O604" s="78">
        <v>7270.47</v>
      </c>
      <c r="P604" s="72">
        <v>8520</v>
      </c>
      <c r="Q604" s="256">
        <f t="shared" si="123"/>
        <v>1874.4</v>
      </c>
      <c r="R604" s="256">
        <f t="shared" si="124"/>
        <v>10394.4</v>
      </c>
      <c r="S604" s="296"/>
      <c r="T604" s="3">
        <v>33</v>
      </c>
      <c r="U604" s="294"/>
    </row>
    <row r="605" spans="1:21" ht="15" customHeight="1" x14ac:dyDescent="0.35">
      <c r="A605" s="218" t="s">
        <v>2880</v>
      </c>
      <c r="B605" s="3">
        <v>569</v>
      </c>
      <c r="C605" s="44">
        <v>10119191</v>
      </c>
      <c r="D605" s="18" t="s">
        <v>1650</v>
      </c>
      <c r="E605" s="18" t="s">
        <v>2027</v>
      </c>
      <c r="F605" s="12">
        <v>3</v>
      </c>
      <c r="G605" s="3" t="s">
        <v>0</v>
      </c>
      <c r="H605" s="39">
        <v>41431</v>
      </c>
      <c r="I605" s="27" t="s">
        <v>984</v>
      </c>
      <c r="J605" s="4" t="s">
        <v>1962</v>
      </c>
      <c r="K605" s="4" t="s">
        <v>988</v>
      </c>
      <c r="L605" s="29" t="s">
        <v>977</v>
      </c>
      <c r="M605" s="78">
        <f t="shared" si="121"/>
        <v>15060</v>
      </c>
      <c r="N605" s="78">
        <f t="shared" si="125"/>
        <v>5020</v>
      </c>
      <c r="O605" s="78">
        <v>15060</v>
      </c>
      <c r="P605" s="72">
        <v>13110</v>
      </c>
      <c r="Q605" s="256">
        <f t="shared" si="123"/>
        <v>2884.2</v>
      </c>
      <c r="R605" s="256">
        <f t="shared" si="124"/>
        <v>15994.2</v>
      </c>
      <c r="S605" s="296"/>
      <c r="T605" s="3">
        <v>33</v>
      </c>
      <c r="U605" s="294"/>
    </row>
    <row r="606" spans="1:21" ht="28.5" customHeight="1" x14ac:dyDescent="0.35">
      <c r="A606" s="218" t="s">
        <v>2881</v>
      </c>
      <c r="B606" s="3">
        <v>570</v>
      </c>
      <c r="C606" s="44">
        <v>10098141</v>
      </c>
      <c r="D606" s="18" t="s">
        <v>1652</v>
      </c>
      <c r="E606" s="18" t="s">
        <v>2027</v>
      </c>
      <c r="F606" s="12">
        <v>1</v>
      </c>
      <c r="G606" s="3" t="s">
        <v>0</v>
      </c>
      <c r="H606" s="39">
        <v>40909</v>
      </c>
      <c r="I606" s="27" t="s">
        <v>984</v>
      </c>
      <c r="J606" s="4" t="s">
        <v>1996</v>
      </c>
      <c r="K606" s="4" t="s">
        <v>988</v>
      </c>
      <c r="L606" s="29" t="s">
        <v>977</v>
      </c>
      <c r="M606" s="78">
        <f t="shared" si="121"/>
        <v>6134.62</v>
      </c>
      <c r="N606" s="78">
        <f t="shared" si="125"/>
        <v>6134.62</v>
      </c>
      <c r="O606" s="78">
        <v>6134.62</v>
      </c>
      <c r="P606" s="72">
        <v>5360</v>
      </c>
      <c r="Q606" s="256">
        <f t="shared" si="123"/>
        <v>1179.2</v>
      </c>
      <c r="R606" s="256">
        <f t="shared" si="124"/>
        <v>6539.2</v>
      </c>
      <c r="S606" s="296"/>
      <c r="T606" s="3">
        <v>33</v>
      </c>
      <c r="U606" s="294"/>
    </row>
    <row r="607" spans="1:21" ht="15" customHeight="1" x14ac:dyDescent="0.35">
      <c r="A607" s="218" t="s">
        <v>2882</v>
      </c>
      <c r="B607" s="3">
        <v>571</v>
      </c>
      <c r="C607" s="44">
        <v>10119192</v>
      </c>
      <c r="D607" s="18" t="s">
        <v>1653</v>
      </c>
      <c r="E607" s="18" t="s">
        <v>2027</v>
      </c>
      <c r="F607" s="12">
        <v>2</v>
      </c>
      <c r="G607" s="3" t="s">
        <v>0</v>
      </c>
      <c r="H607" s="39">
        <v>41320</v>
      </c>
      <c r="I607" s="27" t="s">
        <v>984</v>
      </c>
      <c r="J607" s="4" t="s">
        <v>1962</v>
      </c>
      <c r="K607" s="4" t="s">
        <v>988</v>
      </c>
      <c r="L607" s="29" t="s">
        <v>977</v>
      </c>
      <c r="M607" s="78">
        <f t="shared" si="121"/>
        <v>774</v>
      </c>
      <c r="N607" s="78">
        <f t="shared" si="125"/>
        <v>387</v>
      </c>
      <c r="O607" s="78">
        <v>774</v>
      </c>
      <c r="P607" s="72">
        <v>680</v>
      </c>
      <c r="Q607" s="256">
        <f t="shared" si="123"/>
        <v>149.6</v>
      </c>
      <c r="R607" s="256">
        <f t="shared" si="124"/>
        <v>829.6</v>
      </c>
      <c r="S607" s="296"/>
      <c r="T607" s="3">
        <v>33</v>
      </c>
      <c r="U607" s="294"/>
    </row>
    <row r="608" spans="1:21" ht="15" customHeight="1" x14ac:dyDescent="0.35">
      <c r="A608" s="218" t="s">
        <v>2883</v>
      </c>
      <c r="B608" s="3">
        <v>572</v>
      </c>
      <c r="C608" s="44">
        <v>10119193</v>
      </c>
      <c r="D608" s="18" t="s">
        <v>1654</v>
      </c>
      <c r="E608" s="18" t="s">
        <v>2027</v>
      </c>
      <c r="F608" s="12">
        <v>4</v>
      </c>
      <c r="G608" s="3" t="s">
        <v>0</v>
      </c>
      <c r="H608" s="39">
        <v>41320</v>
      </c>
      <c r="I608" s="27" t="s">
        <v>984</v>
      </c>
      <c r="J608" s="4" t="s">
        <v>1962</v>
      </c>
      <c r="K608" s="4" t="s">
        <v>988</v>
      </c>
      <c r="L608" s="29" t="s">
        <v>977</v>
      </c>
      <c r="M608" s="78">
        <f t="shared" si="121"/>
        <v>2324</v>
      </c>
      <c r="N608" s="78">
        <f t="shared" si="125"/>
        <v>581</v>
      </c>
      <c r="O608" s="78">
        <v>2324</v>
      </c>
      <c r="P608" s="72">
        <v>2030</v>
      </c>
      <c r="Q608" s="256">
        <f t="shared" si="123"/>
        <v>446.6</v>
      </c>
      <c r="R608" s="256">
        <f t="shared" si="124"/>
        <v>2476.6</v>
      </c>
      <c r="S608" s="296"/>
      <c r="T608" s="3">
        <v>33</v>
      </c>
      <c r="U608" s="294"/>
    </row>
    <row r="609" spans="1:21" ht="15" customHeight="1" x14ac:dyDescent="0.35">
      <c r="A609" s="218" t="s">
        <v>2884</v>
      </c>
      <c r="B609" s="3">
        <v>573</v>
      </c>
      <c r="C609" s="44">
        <v>10111136</v>
      </c>
      <c r="D609" s="18" t="s">
        <v>1657</v>
      </c>
      <c r="E609" s="18" t="s">
        <v>2027</v>
      </c>
      <c r="F609" s="12">
        <v>7</v>
      </c>
      <c r="G609" s="3" t="s">
        <v>0</v>
      </c>
      <c r="H609" s="39">
        <v>41141</v>
      </c>
      <c r="I609" s="27" t="s">
        <v>984</v>
      </c>
      <c r="J609" s="4" t="s">
        <v>1962</v>
      </c>
      <c r="K609" s="4" t="s">
        <v>988</v>
      </c>
      <c r="L609" s="29" t="s">
        <v>977</v>
      </c>
      <c r="M609" s="78">
        <f t="shared" si="121"/>
        <v>33852</v>
      </c>
      <c r="N609" s="78">
        <f t="shared" si="125"/>
        <v>4836</v>
      </c>
      <c r="O609" s="78">
        <v>33852</v>
      </c>
      <c r="P609" s="72">
        <v>29440</v>
      </c>
      <c r="Q609" s="256">
        <f t="shared" si="123"/>
        <v>6476.8</v>
      </c>
      <c r="R609" s="256">
        <f t="shared" si="124"/>
        <v>35916.800000000003</v>
      </c>
      <c r="S609" s="296"/>
      <c r="T609" s="3">
        <v>33</v>
      </c>
      <c r="U609" s="294"/>
    </row>
    <row r="610" spans="1:21" ht="15" customHeight="1" x14ac:dyDescent="0.35">
      <c r="A610" s="218" t="s">
        <v>2885</v>
      </c>
      <c r="B610" s="3">
        <v>574</v>
      </c>
      <c r="C610" s="44">
        <v>10109889</v>
      </c>
      <c r="D610" s="18" t="s">
        <v>1658</v>
      </c>
      <c r="E610" s="18" t="s">
        <v>2027</v>
      </c>
      <c r="F610" s="12">
        <v>5</v>
      </c>
      <c r="G610" s="3" t="s">
        <v>0</v>
      </c>
      <c r="H610" s="39">
        <v>41141</v>
      </c>
      <c r="I610" s="27" t="s">
        <v>984</v>
      </c>
      <c r="J610" s="4" t="s">
        <v>1962</v>
      </c>
      <c r="K610" s="4" t="s">
        <v>988</v>
      </c>
      <c r="L610" s="29" t="s">
        <v>977</v>
      </c>
      <c r="M610" s="78">
        <f t="shared" si="121"/>
        <v>33668.97</v>
      </c>
      <c r="N610" s="78">
        <f t="shared" si="125"/>
        <v>6733.79</v>
      </c>
      <c r="O610" s="78">
        <v>33668.97</v>
      </c>
      <c r="P610" s="72">
        <v>29290</v>
      </c>
      <c r="Q610" s="256">
        <f t="shared" si="123"/>
        <v>6443.8</v>
      </c>
      <c r="R610" s="256">
        <f t="shared" si="124"/>
        <v>35733.800000000003</v>
      </c>
      <c r="S610" s="296"/>
      <c r="T610" s="3">
        <v>33</v>
      </c>
      <c r="U610" s="294"/>
    </row>
    <row r="611" spans="1:21" ht="15" customHeight="1" x14ac:dyDescent="0.35">
      <c r="A611" s="218" t="s">
        <v>2886</v>
      </c>
      <c r="B611" s="3">
        <v>575</v>
      </c>
      <c r="C611" s="44">
        <v>10111135</v>
      </c>
      <c r="D611" s="18" t="s">
        <v>1659</v>
      </c>
      <c r="E611" s="18" t="s">
        <v>2027</v>
      </c>
      <c r="F611" s="12">
        <v>12</v>
      </c>
      <c r="G611" s="3" t="s">
        <v>0</v>
      </c>
      <c r="H611" s="39">
        <v>41141</v>
      </c>
      <c r="I611" s="27" t="s">
        <v>984</v>
      </c>
      <c r="J611" s="4" t="s">
        <v>1962</v>
      </c>
      <c r="K611" s="4" t="s">
        <v>988</v>
      </c>
      <c r="L611" s="29" t="s">
        <v>977</v>
      </c>
      <c r="M611" s="78">
        <f t="shared" si="121"/>
        <v>73632</v>
      </c>
      <c r="N611" s="78">
        <f t="shared" si="125"/>
        <v>6136</v>
      </c>
      <c r="O611" s="78">
        <v>73632</v>
      </c>
      <c r="P611" s="72">
        <v>64050</v>
      </c>
      <c r="Q611" s="256">
        <f t="shared" si="123"/>
        <v>14091</v>
      </c>
      <c r="R611" s="256">
        <f t="shared" si="124"/>
        <v>78141</v>
      </c>
      <c r="S611" s="296"/>
      <c r="T611" s="3">
        <v>33</v>
      </c>
      <c r="U611" s="294"/>
    </row>
    <row r="612" spans="1:21" ht="15" customHeight="1" x14ac:dyDescent="0.35">
      <c r="A612" s="218" t="s">
        <v>2887</v>
      </c>
      <c r="B612" s="3">
        <v>576</v>
      </c>
      <c r="C612" s="44">
        <v>10110454</v>
      </c>
      <c r="D612" s="18" t="s">
        <v>1660</v>
      </c>
      <c r="E612" s="18" t="s">
        <v>2027</v>
      </c>
      <c r="F612" s="12">
        <v>3</v>
      </c>
      <c r="G612" s="3" t="s">
        <v>0</v>
      </c>
      <c r="H612" s="39">
        <v>41141</v>
      </c>
      <c r="I612" s="27" t="s">
        <v>984</v>
      </c>
      <c r="J612" s="4" t="s">
        <v>1962</v>
      </c>
      <c r="K612" s="4" t="s">
        <v>988</v>
      </c>
      <c r="L612" s="29" t="s">
        <v>977</v>
      </c>
      <c r="M612" s="78">
        <f t="shared" si="121"/>
        <v>21773.11</v>
      </c>
      <c r="N612" s="78">
        <f t="shared" si="125"/>
        <v>7257.7</v>
      </c>
      <c r="O612" s="78">
        <v>21773.11</v>
      </c>
      <c r="P612" s="72">
        <v>18940</v>
      </c>
      <c r="Q612" s="256">
        <f t="shared" si="123"/>
        <v>4166.8</v>
      </c>
      <c r="R612" s="256">
        <f t="shared" si="124"/>
        <v>23106.799999999999</v>
      </c>
      <c r="S612" s="296"/>
      <c r="T612" s="3">
        <v>33</v>
      </c>
      <c r="U612" s="294"/>
    </row>
    <row r="613" spans="1:21" ht="15" customHeight="1" x14ac:dyDescent="0.35">
      <c r="A613" s="218" t="s">
        <v>2888</v>
      </c>
      <c r="B613" s="3">
        <v>577</v>
      </c>
      <c r="C613" s="44">
        <v>10111137</v>
      </c>
      <c r="D613" s="18" t="s">
        <v>1661</v>
      </c>
      <c r="E613" s="18" t="s">
        <v>2027</v>
      </c>
      <c r="F613" s="12">
        <v>14</v>
      </c>
      <c r="G613" s="3" t="s">
        <v>0</v>
      </c>
      <c r="H613" s="39">
        <v>41141</v>
      </c>
      <c r="I613" s="27" t="s">
        <v>984</v>
      </c>
      <c r="J613" s="4" t="s">
        <v>1962</v>
      </c>
      <c r="K613" s="4" t="s">
        <v>988</v>
      </c>
      <c r="L613" s="29" t="s">
        <v>977</v>
      </c>
      <c r="M613" s="78">
        <f t="shared" si="121"/>
        <v>115600.91</v>
      </c>
      <c r="N613" s="78">
        <f t="shared" si="125"/>
        <v>8257.2099999999991</v>
      </c>
      <c r="O613" s="78">
        <v>115600.91</v>
      </c>
      <c r="P613" s="72">
        <v>100550</v>
      </c>
      <c r="Q613" s="256">
        <f t="shared" si="123"/>
        <v>22121</v>
      </c>
      <c r="R613" s="256">
        <f t="shared" si="124"/>
        <v>122671</v>
      </c>
      <c r="S613" s="296"/>
      <c r="T613" s="3">
        <v>33</v>
      </c>
      <c r="U613" s="294"/>
    </row>
    <row r="614" spans="1:21" ht="15" customHeight="1" x14ac:dyDescent="0.35">
      <c r="A614" s="218" t="s">
        <v>2889</v>
      </c>
      <c r="B614" s="3">
        <v>578</v>
      </c>
      <c r="C614" s="44">
        <v>10030170</v>
      </c>
      <c r="D614" s="18" t="s">
        <v>1662</v>
      </c>
      <c r="E614" s="18" t="s">
        <v>2027</v>
      </c>
      <c r="F614" s="12">
        <v>4</v>
      </c>
      <c r="G614" s="3" t="s">
        <v>0</v>
      </c>
      <c r="H614" s="39">
        <v>41141</v>
      </c>
      <c r="I614" s="27" t="s">
        <v>984</v>
      </c>
      <c r="J614" s="4" t="s">
        <v>1962</v>
      </c>
      <c r="K614" s="4" t="s">
        <v>988</v>
      </c>
      <c r="L614" s="29" t="s">
        <v>977</v>
      </c>
      <c r="M614" s="78">
        <f t="shared" si="121"/>
        <v>27726.9</v>
      </c>
      <c r="N614" s="78">
        <f t="shared" si="125"/>
        <v>6931.73</v>
      </c>
      <c r="O614" s="78">
        <v>27726.9</v>
      </c>
      <c r="P614" s="72">
        <v>24120</v>
      </c>
      <c r="Q614" s="256">
        <f t="shared" si="123"/>
        <v>5306.4</v>
      </c>
      <c r="R614" s="256">
        <f t="shared" si="124"/>
        <v>29426.400000000001</v>
      </c>
      <c r="S614" s="296"/>
      <c r="T614" s="3">
        <v>33</v>
      </c>
      <c r="U614" s="294"/>
    </row>
    <row r="615" spans="1:21" ht="15" customHeight="1" x14ac:dyDescent="0.35">
      <c r="A615" s="218" t="s">
        <v>2890</v>
      </c>
      <c r="B615" s="3">
        <v>579</v>
      </c>
      <c r="C615" s="44">
        <v>10119194</v>
      </c>
      <c r="D615" s="18" t="s">
        <v>1665</v>
      </c>
      <c r="E615" s="18" t="s">
        <v>2027</v>
      </c>
      <c r="F615" s="12">
        <v>2</v>
      </c>
      <c r="G615" s="3" t="s">
        <v>0</v>
      </c>
      <c r="H615" s="39">
        <v>41431</v>
      </c>
      <c r="I615" s="27" t="s">
        <v>984</v>
      </c>
      <c r="J615" s="4" t="s">
        <v>1962</v>
      </c>
      <c r="K615" s="4" t="s">
        <v>988</v>
      </c>
      <c r="L615" s="29" t="s">
        <v>977</v>
      </c>
      <c r="M615" s="78">
        <f t="shared" si="121"/>
        <v>8862</v>
      </c>
      <c r="N615" s="78">
        <f t="shared" si="125"/>
        <v>4431</v>
      </c>
      <c r="O615" s="78">
        <v>8862</v>
      </c>
      <c r="P615" s="72">
        <v>7710</v>
      </c>
      <c r="Q615" s="256">
        <f t="shared" si="123"/>
        <v>1696.2</v>
      </c>
      <c r="R615" s="256">
        <f t="shared" si="124"/>
        <v>9406.2000000000007</v>
      </c>
      <c r="S615" s="296"/>
      <c r="T615" s="3">
        <v>33</v>
      </c>
      <c r="U615" s="294"/>
    </row>
    <row r="616" spans="1:21" ht="15" customHeight="1" x14ac:dyDescent="0.35">
      <c r="A616" s="218" t="s">
        <v>2891</v>
      </c>
      <c r="B616" s="3">
        <v>580</v>
      </c>
      <c r="C616" s="44">
        <v>10093769</v>
      </c>
      <c r="D616" s="18" t="s">
        <v>1679</v>
      </c>
      <c r="E616" s="18" t="s">
        <v>2027</v>
      </c>
      <c r="F616" s="12">
        <v>70</v>
      </c>
      <c r="G616" s="3" t="s">
        <v>0</v>
      </c>
      <c r="H616" s="39">
        <v>41201</v>
      </c>
      <c r="I616" s="27" t="s">
        <v>984</v>
      </c>
      <c r="J616" s="4" t="s">
        <v>1962</v>
      </c>
      <c r="K616" s="4" t="s">
        <v>988</v>
      </c>
      <c r="L616" s="29" t="s">
        <v>977</v>
      </c>
      <c r="M616" s="78">
        <f t="shared" si="121"/>
        <v>404250</v>
      </c>
      <c r="N616" s="78">
        <f t="shared" si="125"/>
        <v>5775</v>
      </c>
      <c r="O616" s="78">
        <v>404250</v>
      </c>
      <c r="P616" s="72">
        <v>351620</v>
      </c>
      <c r="Q616" s="256">
        <f t="shared" si="123"/>
        <v>77356.399999999994</v>
      </c>
      <c r="R616" s="256">
        <f t="shared" si="124"/>
        <v>428976.4</v>
      </c>
      <c r="S616" s="296"/>
      <c r="T616" s="3">
        <v>33</v>
      </c>
      <c r="U616" s="294"/>
    </row>
    <row r="617" spans="1:21" ht="15" customHeight="1" x14ac:dyDescent="0.35">
      <c r="A617" s="218" t="s">
        <v>2892</v>
      </c>
      <c r="B617" s="3">
        <v>581</v>
      </c>
      <c r="C617" s="44">
        <v>10102377</v>
      </c>
      <c r="D617" s="18" t="s">
        <v>1680</v>
      </c>
      <c r="E617" s="18" t="s">
        <v>2027</v>
      </c>
      <c r="F617" s="12">
        <v>13</v>
      </c>
      <c r="G617" s="3" t="s">
        <v>0</v>
      </c>
      <c r="H617" s="39">
        <v>41431</v>
      </c>
      <c r="I617" s="27" t="s">
        <v>984</v>
      </c>
      <c r="J617" s="4" t="s">
        <v>1962</v>
      </c>
      <c r="K617" s="4" t="s">
        <v>988</v>
      </c>
      <c r="L617" s="29" t="s">
        <v>977</v>
      </c>
      <c r="M617" s="78">
        <f t="shared" si="121"/>
        <v>137262.04</v>
      </c>
      <c r="N617" s="78">
        <f t="shared" si="125"/>
        <v>10558.62</v>
      </c>
      <c r="O617" s="78">
        <v>137262.04</v>
      </c>
      <c r="P617" s="72">
        <v>119460</v>
      </c>
      <c r="Q617" s="256">
        <f t="shared" si="123"/>
        <v>26281.200000000001</v>
      </c>
      <c r="R617" s="256">
        <f t="shared" si="124"/>
        <v>145741.20000000001</v>
      </c>
      <c r="S617" s="296"/>
      <c r="T617" s="3">
        <v>33</v>
      </c>
      <c r="U617" s="294"/>
    </row>
    <row r="618" spans="1:21" ht="30" customHeight="1" x14ac:dyDescent="0.35">
      <c r="A618" s="218" t="s">
        <v>2893</v>
      </c>
      <c r="B618" s="3">
        <v>582</v>
      </c>
      <c r="C618" s="44">
        <v>10051198</v>
      </c>
      <c r="D618" s="18" t="s">
        <v>1681</v>
      </c>
      <c r="E618" s="18" t="s">
        <v>2027</v>
      </c>
      <c r="F618" s="12">
        <v>1</v>
      </c>
      <c r="G618" s="3" t="s">
        <v>0</v>
      </c>
      <c r="H618" s="39">
        <v>39448</v>
      </c>
      <c r="I618" s="27" t="s">
        <v>984</v>
      </c>
      <c r="J618" s="4" t="s">
        <v>1994</v>
      </c>
      <c r="K618" s="4" t="s">
        <v>988</v>
      </c>
      <c r="L618" s="29" t="s">
        <v>977</v>
      </c>
      <c r="M618" s="78">
        <f t="shared" si="121"/>
        <v>2290.2600000000002</v>
      </c>
      <c r="N618" s="78">
        <f t="shared" si="125"/>
        <v>2290.2600000000002</v>
      </c>
      <c r="O618" s="78">
        <v>2290.2600000000002</v>
      </c>
      <c r="P618" s="72">
        <v>2540</v>
      </c>
      <c r="Q618" s="256">
        <f t="shared" si="123"/>
        <v>558.79999999999995</v>
      </c>
      <c r="R618" s="256">
        <f t="shared" si="124"/>
        <v>3098.8</v>
      </c>
      <c r="S618" s="296"/>
      <c r="T618" s="3">
        <v>33</v>
      </c>
      <c r="U618" s="294"/>
    </row>
    <row r="619" spans="1:21" ht="30" customHeight="1" x14ac:dyDescent="0.35">
      <c r="A619" s="218" t="s">
        <v>2894</v>
      </c>
      <c r="B619" s="3">
        <v>583</v>
      </c>
      <c r="C619" s="44">
        <v>10050939</v>
      </c>
      <c r="D619" s="18" t="s">
        <v>1683</v>
      </c>
      <c r="E619" s="18" t="s">
        <v>2027</v>
      </c>
      <c r="F619" s="12">
        <v>6</v>
      </c>
      <c r="G619" s="3" t="s">
        <v>0</v>
      </c>
      <c r="H619" s="39">
        <v>39758</v>
      </c>
      <c r="I619" s="27" t="s">
        <v>984</v>
      </c>
      <c r="J619" s="4" t="s">
        <v>1962</v>
      </c>
      <c r="K619" s="4" t="s">
        <v>988</v>
      </c>
      <c r="L619" s="29" t="s">
        <v>977</v>
      </c>
      <c r="M619" s="78">
        <f t="shared" si="121"/>
        <v>7534.24</v>
      </c>
      <c r="N619" s="78">
        <f t="shared" si="125"/>
        <v>1255.71</v>
      </c>
      <c r="O619" s="78">
        <v>7534.24</v>
      </c>
      <c r="P619" s="72">
        <v>7700</v>
      </c>
      <c r="Q619" s="256">
        <f t="shared" si="123"/>
        <v>1694</v>
      </c>
      <c r="R619" s="256">
        <f t="shared" si="124"/>
        <v>9394</v>
      </c>
      <c r="S619" s="296"/>
      <c r="T619" s="3">
        <v>33</v>
      </c>
      <c r="U619" s="294"/>
    </row>
    <row r="620" spans="1:21" ht="30" customHeight="1" x14ac:dyDescent="0.35">
      <c r="A620" s="218" t="s">
        <v>2895</v>
      </c>
      <c r="B620" s="3">
        <v>584</v>
      </c>
      <c r="C620" s="44">
        <v>10098369</v>
      </c>
      <c r="D620" s="18" t="s">
        <v>1684</v>
      </c>
      <c r="E620" s="18" t="s">
        <v>2027</v>
      </c>
      <c r="F620" s="12">
        <v>4</v>
      </c>
      <c r="G620" s="3" t="s">
        <v>0</v>
      </c>
      <c r="H620" s="39">
        <v>40909</v>
      </c>
      <c r="I620" s="27" t="s">
        <v>984</v>
      </c>
      <c r="J620" s="4" t="s">
        <v>1962</v>
      </c>
      <c r="K620" s="4" t="s">
        <v>988</v>
      </c>
      <c r="L620" s="29" t="s">
        <v>977</v>
      </c>
      <c r="M620" s="78">
        <f t="shared" si="121"/>
        <v>16080</v>
      </c>
      <c r="N620" s="78">
        <f t="shared" si="125"/>
        <v>4020</v>
      </c>
      <c r="O620" s="78">
        <v>16080</v>
      </c>
      <c r="P620" s="72">
        <v>14040</v>
      </c>
      <c r="Q620" s="256">
        <f t="shared" si="123"/>
        <v>3088.8</v>
      </c>
      <c r="R620" s="256">
        <f t="shared" si="124"/>
        <v>17128.8</v>
      </c>
      <c r="S620" s="296"/>
      <c r="T620" s="3">
        <v>33</v>
      </c>
      <c r="U620" s="294"/>
    </row>
    <row r="621" spans="1:21" ht="30" customHeight="1" x14ac:dyDescent="0.35">
      <c r="A621" s="218" t="s">
        <v>2896</v>
      </c>
      <c r="B621" s="3">
        <v>585</v>
      </c>
      <c r="C621" s="44">
        <v>10126616</v>
      </c>
      <c r="D621" s="18" t="s">
        <v>1685</v>
      </c>
      <c r="E621" s="18" t="s">
        <v>2027</v>
      </c>
      <c r="F621" s="12">
        <v>8</v>
      </c>
      <c r="G621" s="3" t="s">
        <v>0</v>
      </c>
      <c r="H621" s="39">
        <v>40909</v>
      </c>
      <c r="I621" s="27" t="s">
        <v>984</v>
      </c>
      <c r="J621" s="4" t="s">
        <v>1962</v>
      </c>
      <c r="K621" s="4" t="s">
        <v>988</v>
      </c>
      <c r="L621" s="29" t="s">
        <v>977</v>
      </c>
      <c r="M621" s="78">
        <f t="shared" si="121"/>
        <v>61908</v>
      </c>
      <c r="N621" s="78">
        <f t="shared" si="125"/>
        <v>7738.5</v>
      </c>
      <c r="O621" s="78">
        <v>61908</v>
      </c>
      <c r="P621" s="72">
        <v>54060</v>
      </c>
      <c r="Q621" s="256">
        <f t="shared" si="123"/>
        <v>11893.2</v>
      </c>
      <c r="R621" s="256">
        <f t="shared" si="124"/>
        <v>65953.2</v>
      </c>
      <c r="S621" s="296"/>
      <c r="T621" s="3">
        <v>33</v>
      </c>
      <c r="U621" s="294"/>
    </row>
    <row r="622" spans="1:21" ht="30" customHeight="1" x14ac:dyDescent="0.35">
      <c r="A622" s="218" t="s">
        <v>2897</v>
      </c>
      <c r="B622" s="3">
        <v>586</v>
      </c>
      <c r="C622" s="44">
        <v>10042796</v>
      </c>
      <c r="D622" s="18" t="s">
        <v>1686</v>
      </c>
      <c r="E622" s="18" t="s">
        <v>2027</v>
      </c>
      <c r="F622" s="12">
        <v>4</v>
      </c>
      <c r="G622" s="3" t="s">
        <v>0</v>
      </c>
      <c r="H622" s="39">
        <v>40179</v>
      </c>
      <c r="I622" s="27" t="s">
        <v>984</v>
      </c>
      <c r="J622" s="4" t="s">
        <v>1993</v>
      </c>
      <c r="K622" s="4" t="s">
        <v>988</v>
      </c>
      <c r="L622" s="29" t="s">
        <v>977</v>
      </c>
      <c r="M622" s="78">
        <f t="shared" si="121"/>
        <v>17425.68</v>
      </c>
      <c r="N622" s="78">
        <f t="shared" si="125"/>
        <v>4356.42</v>
      </c>
      <c r="O622" s="78">
        <v>17425.68</v>
      </c>
      <c r="P622" s="72">
        <v>17550</v>
      </c>
      <c r="Q622" s="256">
        <f t="shared" si="123"/>
        <v>3861</v>
      </c>
      <c r="R622" s="256">
        <f t="shared" si="124"/>
        <v>21411</v>
      </c>
      <c r="S622" s="296"/>
      <c r="T622" s="3">
        <v>33</v>
      </c>
      <c r="U622" s="294"/>
    </row>
    <row r="623" spans="1:21" ht="30" customHeight="1" x14ac:dyDescent="0.35">
      <c r="A623" s="218" t="s">
        <v>2898</v>
      </c>
      <c r="B623" s="3">
        <v>587</v>
      </c>
      <c r="C623" s="44">
        <v>10102573</v>
      </c>
      <c r="D623" s="18" t="s">
        <v>1690</v>
      </c>
      <c r="E623" s="18" t="s">
        <v>2027</v>
      </c>
      <c r="F623" s="12">
        <v>1</v>
      </c>
      <c r="G623" s="3" t="s">
        <v>0</v>
      </c>
      <c r="H623" s="39">
        <v>40179</v>
      </c>
      <c r="I623" s="27" t="s">
        <v>984</v>
      </c>
      <c r="J623" s="4" t="s">
        <v>1992</v>
      </c>
      <c r="K623" s="4" t="s">
        <v>988</v>
      </c>
      <c r="L623" s="29" t="s">
        <v>977</v>
      </c>
      <c r="M623" s="78">
        <f t="shared" si="121"/>
        <v>7840</v>
      </c>
      <c r="N623" s="78">
        <f t="shared" si="125"/>
        <v>7840</v>
      </c>
      <c r="O623" s="78">
        <v>7840</v>
      </c>
      <c r="P623" s="72">
        <v>7900</v>
      </c>
      <c r="Q623" s="256">
        <f t="shared" ref="Q623:Q654" si="126">R623-P623</f>
        <v>1738</v>
      </c>
      <c r="R623" s="256">
        <f t="shared" ref="R623:R654" si="127">P623*1.22</f>
        <v>9638</v>
      </c>
      <c r="S623" s="296"/>
      <c r="T623" s="3">
        <v>33</v>
      </c>
      <c r="U623" s="294"/>
    </row>
    <row r="624" spans="1:21" ht="30" customHeight="1" x14ac:dyDescent="0.35">
      <c r="A624" s="218" t="s">
        <v>2899</v>
      </c>
      <c r="B624" s="3">
        <v>588</v>
      </c>
      <c r="C624" s="44">
        <v>10113724</v>
      </c>
      <c r="D624" s="18" t="s">
        <v>1691</v>
      </c>
      <c r="E624" s="18" t="s">
        <v>2027</v>
      </c>
      <c r="F624" s="12">
        <v>7</v>
      </c>
      <c r="G624" s="3" t="s">
        <v>0</v>
      </c>
      <c r="H624" s="39">
        <v>40430</v>
      </c>
      <c r="I624" s="27" t="s">
        <v>984</v>
      </c>
      <c r="J624" s="4" t="s">
        <v>1962</v>
      </c>
      <c r="K624" s="4" t="s">
        <v>988</v>
      </c>
      <c r="L624" s="29" t="s">
        <v>977</v>
      </c>
      <c r="M624" s="78">
        <f t="shared" si="121"/>
        <v>12548.52</v>
      </c>
      <c r="N624" s="78">
        <f t="shared" si="125"/>
        <v>1792.65</v>
      </c>
      <c r="O624" s="78">
        <v>12548.52</v>
      </c>
      <c r="P624" s="72">
        <v>11940</v>
      </c>
      <c r="Q624" s="256">
        <f t="shared" si="126"/>
        <v>2626.8</v>
      </c>
      <c r="R624" s="256">
        <f t="shared" si="127"/>
        <v>14566.8</v>
      </c>
      <c r="S624" s="296"/>
      <c r="T624" s="3">
        <v>33</v>
      </c>
      <c r="U624" s="294"/>
    </row>
    <row r="625" spans="1:21" ht="30" customHeight="1" x14ac:dyDescent="0.35">
      <c r="A625" s="218" t="s">
        <v>2900</v>
      </c>
      <c r="B625" s="3">
        <v>589</v>
      </c>
      <c r="C625" s="44">
        <v>10093765</v>
      </c>
      <c r="D625" s="18" t="s">
        <v>1703</v>
      </c>
      <c r="E625" s="18" t="s">
        <v>2027</v>
      </c>
      <c r="F625" s="12">
        <v>17</v>
      </c>
      <c r="G625" s="3" t="s">
        <v>0</v>
      </c>
      <c r="H625" s="39">
        <v>41431</v>
      </c>
      <c r="I625" s="27" t="s">
        <v>984</v>
      </c>
      <c r="J625" s="4" t="s">
        <v>1962</v>
      </c>
      <c r="K625" s="4" t="s">
        <v>988</v>
      </c>
      <c r="L625" s="29" t="s">
        <v>977</v>
      </c>
      <c r="M625" s="78">
        <f t="shared" si="121"/>
        <v>35778.620000000003</v>
      </c>
      <c r="N625" s="78">
        <f t="shared" si="125"/>
        <v>2104.62</v>
      </c>
      <c r="O625" s="78">
        <v>35778.620000000003</v>
      </c>
      <c r="P625" s="72">
        <v>31140</v>
      </c>
      <c r="Q625" s="256">
        <f t="shared" si="126"/>
        <v>6850.8</v>
      </c>
      <c r="R625" s="256">
        <f t="shared" si="127"/>
        <v>37990.800000000003</v>
      </c>
      <c r="S625" s="296"/>
      <c r="T625" s="3">
        <v>33</v>
      </c>
      <c r="U625" s="294"/>
    </row>
    <row r="626" spans="1:21" ht="30" customHeight="1" x14ac:dyDescent="0.35">
      <c r="A626" s="218" t="s">
        <v>2901</v>
      </c>
      <c r="B626" s="3">
        <v>590</v>
      </c>
      <c r="C626" s="44">
        <v>10119281</v>
      </c>
      <c r="D626" s="18" t="s">
        <v>1705</v>
      </c>
      <c r="E626" s="18" t="s">
        <v>2027</v>
      </c>
      <c r="F626" s="12">
        <v>1</v>
      </c>
      <c r="G626" s="3" t="s">
        <v>0</v>
      </c>
      <c r="H626" s="39">
        <v>41516</v>
      </c>
      <c r="I626" s="27" t="s">
        <v>984</v>
      </c>
      <c r="J626" s="4" t="s">
        <v>1962</v>
      </c>
      <c r="K626" s="4" t="s">
        <v>988</v>
      </c>
      <c r="L626" s="29" t="s">
        <v>977</v>
      </c>
      <c r="M626" s="78">
        <f t="shared" si="121"/>
        <v>235</v>
      </c>
      <c r="N626" s="78">
        <f t="shared" si="125"/>
        <v>235</v>
      </c>
      <c r="O626" s="78">
        <v>235</v>
      </c>
      <c r="P626" s="72">
        <v>200</v>
      </c>
      <c r="Q626" s="256">
        <f t="shared" si="126"/>
        <v>44</v>
      </c>
      <c r="R626" s="256">
        <f t="shared" si="127"/>
        <v>244</v>
      </c>
      <c r="S626" s="296"/>
      <c r="T626" s="3">
        <v>33</v>
      </c>
      <c r="U626" s="294"/>
    </row>
    <row r="627" spans="1:21" ht="30" customHeight="1" x14ac:dyDescent="0.35">
      <c r="A627" s="218" t="s">
        <v>2902</v>
      </c>
      <c r="B627" s="3">
        <v>591</v>
      </c>
      <c r="C627" s="44">
        <v>10098339</v>
      </c>
      <c r="D627" s="18" t="s">
        <v>1720</v>
      </c>
      <c r="E627" s="18" t="s">
        <v>2027</v>
      </c>
      <c r="F627" s="12">
        <v>2</v>
      </c>
      <c r="G627" s="3" t="s">
        <v>0</v>
      </c>
      <c r="H627" s="39">
        <v>39814</v>
      </c>
      <c r="I627" s="27" t="s">
        <v>984</v>
      </c>
      <c r="J627" s="4" t="s">
        <v>1989</v>
      </c>
      <c r="K627" s="4" t="s">
        <v>988</v>
      </c>
      <c r="L627" s="29" t="s">
        <v>977</v>
      </c>
      <c r="M627" s="78">
        <f t="shared" si="121"/>
        <v>11600</v>
      </c>
      <c r="N627" s="78">
        <f t="shared" si="125"/>
        <v>5800</v>
      </c>
      <c r="O627" s="78">
        <v>11600</v>
      </c>
      <c r="P627" s="72">
        <v>11700</v>
      </c>
      <c r="Q627" s="256">
        <f t="shared" si="126"/>
        <v>2574</v>
      </c>
      <c r="R627" s="256">
        <f t="shared" si="127"/>
        <v>14274</v>
      </c>
      <c r="S627" s="296"/>
      <c r="T627" s="3">
        <v>33</v>
      </c>
      <c r="U627" s="294"/>
    </row>
    <row r="628" spans="1:21" ht="21.75" customHeight="1" x14ac:dyDescent="0.35">
      <c r="A628" s="218" t="s">
        <v>2903</v>
      </c>
      <c r="B628" s="3">
        <v>592</v>
      </c>
      <c r="C628" s="44">
        <v>10138595</v>
      </c>
      <c r="D628" s="18" t="s">
        <v>1735</v>
      </c>
      <c r="E628" s="18" t="s">
        <v>2027</v>
      </c>
      <c r="F628" s="12">
        <v>6</v>
      </c>
      <c r="G628" s="3" t="s">
        <v>0</v>
      </c>
      <c r="H628" s="39">
        <v>41253</v>
      </c>
      <c r="I628" s="27" t="s">
        <v>984</v>
      </c>
      <c r="J628" s="4" t="s">
        <v>1962</v>
      </c>
      <c r="K628" s="4" t="s">
        <v>988</v>
      </c>
      <c r="L628" s="29" t="s">
        <v>977</v>
      </c>
      <c r="M628" s="78">
        <f t="shared" si="121"/>
        <v>122976</v>
      </c>
      <c r="N628" s="78">
        <f t="shared" ref="N628:N656" si="128">O628/F628</f>
        <v>20496</v>
      </c>
      <c r="O628" s="78">
        <v>122976</v>
      </c>
      <c r="P628" s="72">
        <v>106850</v>
      </c>
      <c r="Q628" s="256">
        <f t="shared" si="126"/>
        <v>23507</v>
      </c>
      <c r="R628" s="256">
        <f t="shared" si="127"/>
        <v>130357</v>
      </c>
      <c r="S628" s="296"/>
      <c r="T628" s="3">
        <v>33</v>
      </c>
      <c r="U628" s="294"/>
    </row>
    <row r="629" spans="1:21" ht="30" customHeight="1" x14ac:dyDescent="0.35">
      <c r="A629" s="218" t="s">
        <v>2904</v>
      </c>
      <c r="B629" s="3">
        <v>593</v>
      </c>
      <c r="C629" s="44">
        <v>10019247</v>
      </c>
      <c r="D629" s="18" t="s">
        <v>1736</v>
      </c>
      <c r="E629" s="18" t="s">
        <v>2027</v>
      </c>
      <c r="F629" s="12">
        <v>2</v>
      </c>
      <c r="G629" s="3" t="s">
        <v>0</v>
      </c>
      <c r="H629" s="39">
        <v>41122</v>
      </c>
      <c r="I629" s="27" t="s">
        <v>984</v>
      </c>
      <c r="J629" s="4" t="s">
        <v>1962</v>
      </c>
      <c r="K629" s="4" t="s">
        <v>988</v>
      </c>
      <c r="L629" s="29" t="s">
        <v>977</v>
      </c>
      <c r="M629" s="78">
        <f t="shared" si="121"/>
        <v>3429.96</v>
      </c>
      <c r="N629" s="78">
        <f t="shared" si="128"/>
        <v>1714.98</v>
      </c>
      <c r="O629" s="78">
        <v>3429.96</v>
      </c>
      <c r="P629" s="72">
        <v>2980</v>
      </c>
      <c r="Q629" s="256">
        <f t="shared" si="126"/>
        <v>655.6</v>
      </c>
      <c r="R629" s="256">
        <f t="shared" si="127"/>
        <v>3635.6</v>
      </c>
      <c r="S629" s="296"/>
      <c r="T629" s="3">
        <v>33</v>
      </c>
      <c r="U629" s="294"/>
    </row>
    <row r="630" spans="1:21" ht="30" customHeight="1" x14ac:dyDescent="0.35">
      <c r="A630" s="218" t="s">
        <v>2905</v>
      </c>
      <c r="B630" s="3">
        <v>594</v>
      </c>
      <c r="C630" s="44">
        <v>10136441</v>
      </c>
      <c r="D630" s="18" t="s">
        <v>1737</v>
      </c>
      <c r="E630" s="18" t="s">
        <v>2027</v>
      </c>
      <c r="F630" s="12">
        <v>3</v>
      </c>
      <c r="G630" s="3" t="s">
        <v>0</v>
      </c>
      <c r="H630" s="39">
        <v>40909</v>
      </c>
      <c r="I630" s="27" t="s">
        <v>984</v>
      </c>
      <c r="J630" s="4" t="s">
        <v>1972</v>
      </c>
      <c r="K630" s="4" t="s">
        <v>988</v>
      </c>
      <c r="L630" s="29" t="s">
        <v>977</v>
      </c>
      <c r="M630" s="78">
        <f t="shared" si="121"/>
        <v>7207.62</v>
      </c>
      <c r="N630" s="78">
        <f t="shared" si="128"/>
        <v>2402.54</v>
      </c>
      <c r="O630" s="78">
        <v>7207.62</v>
      </c>
      <c r="P630" s="72">
        <v>6290</v>
      </c>
      <c r="Q630" s="256">
        <f t="shared" si="126"/>
        <v>1383.8</v>
      </c>
      <c r="R630" s="256">
        <f t="shared" si="127"/>
        <v>7673.8</v>
      </c>
      <c r="S630" s="296"/>
      <c r="T630" s="3">
        <v>33</v>
      </c>
      <c r="U630" s="294"/>
    </row>
    <row r="631" spans="1:21" ht="30" customHeight="1" x14ac:dyDescent="0.35">
      <c r="A631" s="218" t="s">
        <v>2906</v>
      </c>
      <c r="B631" s="3">
        <v>595</v>
      </c>
      <c r="C631" s="44">
        <v>102001444</v>
      </c>
      <c r="D631" s="18" t="s">
        <v>1738</v>
      </c>
      <c r="E631" s="18" t="s">
        <v>2027</v>
      </c>
      <c r="F631" s="12">
        <v>2</v>
      </c>
      <c r="G631" s="3" t="s">
        <v>0</v>
      </c>
      <c r="H631" s="3">
        <v>2015</v>
      </c>
      <c r="I631" s="27" t="s">
        <v>984</v>
      </c>
      <c r="J631" s="4" t="s">
        <v>1962</v>
      </c>
      <c r="K631" s="4" t="s">
        <v>988</v>
      </c>
      <c r="L631" s="29" t="s">
        <v>977</v>
      </c>
      <c r="M631" s="78">
        <f t="shared" si="121"/>
        <v>193195.18</v>
      </c>
      <c r="N631" s="78">
        <f t="shared" si="128"/>
        <v>96597.59</v>
      </c>
      <c r="O631" s="78">
        <v>193195.18</v>
      </c>
      <c r="P631" s="72">
        <v>153770</v>
      </c>
      <c r="Q631" s="256">
        <f t="shared" si="126"/>
        <v>33829.4</v>
      </c>
      <c r="R631" s="256">
        <f t="shared" si="127"/>
        <v>187599.4</v>
      </c>
      <c r="S631" s="296"/>
      <c r="T631" s="3">
        <v>33</v>
      </c>
      <c r="U631" s="294"/>
    </row>
    <row r="632" spans="1:21" ht="30" customHeight="1" x14ac:dyDescent="0.35">
      <c r="A632" s="218" t="s">
        <v>2907</v>
      </c>
      <c r="B632" s="3">
        <v>596</v>
      </c>
      <c r="C632" s="44">
        <v>10111215</v>
      </c>
      <c r="D632" s="18" t="s">
        <v>1739</v>
      </c>
      <c r="E632" s="18" t="s">
        <v>2027</v>
      </c>
      <c r="F632" s="12">
        <v>2</v>
      </c>
      <c r="G632" s="3" t="s">
        <v>0</v>
      </c>
      <c r="H632" s="39">
        <v>39814</v>
      </c>
      <c r="I632" s="27" t="s">
        <v>984</v>
      </c>
      <c r="J632" s="4" t="s">
        <v>2256</v>
      </c>
      <c r="K632" s="4" t="s">
        <v>988</v>
      </c>
      <c r="L632" s="29" t="s">
        <v>977</v>
      </c>
      <c r="M632" s="78">
        <f t="shared" si="121"/>
        <v>3665.62</v>
      </c>
      <c r="N632" s="78">
        <f t="shared" si="128"/>
        <v>1832.81</v>
      </c>
      <c r="O632" s="78">
        <v>3665.62</v>
      </c>
      <c r="P632" s="72">
        <v>3700</v>
      </c>
      <c r="Q632" s="256">
        <f t="shared" si="126"/>
        <v>814</v>
      </c>
      <c r="R632" s="256">
        <f t="shared" si="127"/>
        <v>4514</v>
      </c>
      <c r="S632" s="296"/>
      <c r="T632" s="3">
        <v>33</v>
      </c>
      <c r="U632" s="294"/>
    </row>
    <row r="633" spans="1:21" ht="30" customHeight="1" x14ac:dyDescent="0.35">
      <c r="A633" s="218" t="s">
        <v>2908</v>
      </c>
      <c r="B633" s="3">
        <v>597</v>
      </c>
      <c r="C633" s="44">
        <v>10009961</v>
      </c>
      <c r="D633" s="18" t="s">
        <v>1740</v>
      </c>
      <c r="E633" s="18" t="s">
        <v>2027</v>
      </c>
      <c r="F633" s="12">
        <v>1</v>
      </c>
      <c r="G633" s="3" t="s">
        <v>0</v>
      </c>
      <c r="H633" s="39">
        <v>41092</v>
      </c>
      <c r="I633" s="27" t="s">
        <v>984</v>
      </c>
      <c r="J633" s="4" t="s">
        <v>1962</v>
      </c>
      <c r="K633" s="4" t="s">
        <v>988</v>
      </c>
      <c r="L633" s="29" t="s">
        <v>977</v>
      </c>
      <c r="M633" s="78">
        <f t="shared" si="121"/>
        <v>1641.74</v>
      </c>
      <c r="N633" s="78">
        <f t="shared" si="128"/>
        <v>1641.74</v>
      </c>
      <c r="O633" s="78">
        <v>1641.74</v>
      </c>
      <c r="P633" s="72">
        <v>1430</v>
      </c>
      <c r="Q633" s="256">
        <f t="shared" si="126"/>
        <v>314.60000000000002</v>
      </c>
      <c r="R633" s="256">
        <f t="shared" si="127"/>
        <v>1744.6</v>
      </c>
      <c r="S633" s="296"/>
      <c r="T633" s="3">
        <v>33</v>
      </c>
      <c r="U633" s="294"/>
    </row>
    <row r="634" spans="1:21" ht="30" customHeight="1" x14ac:dyDescent="0.35">
      <c r="A634" s="218" t="s">
        <v>2909</v>
      </c>
      <c r="B634" s="3">
        <v>598</v>
      </c>
      <c r="C634" s="44">
        <v>10119289</v>
      </c>
      <c r="D634" s="18" t="s">
        <v>1741</v>
      </c>
      <c r="E634" s="18" t="s">
        <v>2027</v>
      </c>
      <c r="F634" s="12">
        <v>5</v>
      </c>
      <c r="G634" s="3" t="s">
        <v>0</v>
      </c>
      <c r="H634" s="39">
        <v>41320</v>
      </c>
      <c r="I634" s="27" t="s">
        <v>984</v>
      </c>
      <c r="J634" s="4" t="s">
        <v>1962</v>
      </c>
      <c r="K634" s="4" t="s">
        <v>988</v>
      </c>
      <c r="L634" s="29" t="s">
        <v>977</v>
      </c>
      <c r="M634" s="78">
        <f t="shared" si="121"/>
        <v>33516.949999999997</v>
      </c>
      <c r="N634" s="78">
        <f t="shared" si="128"/>
        <v>6703.39</v>
      </c>
      <c r="O634" s="78">
        <v>33516.949999999997</v>
      </c>
      <c r="P634" s="72">
        <v>29300</v>
      </c>
      <c r="Q634" s="256">
        <f t="shared" si="126"/>
        <v>6446</v>
      </c>
      <c r="R634" s="256">
        <f t="shared" si="127"/>
        <v>35746</v>
      </c>
      <c r="S634" s="296"/>
      <c r="T634" s="3">
        <v>33</v>
      </c>
      <c r="U634" s="294"/>
    </row>
    <row r="635" spans="1:21" ht="30" customHeight="1" x14ac:dyDescent="0.35">
      <c r="A635" s="218" t="s">
        <v>2910</v>
      </c>
      <c r="B635" s="3">
        <v>599</v>
      </c>
      <c r="C635" s="44">
        <v>10051083</v>
      </c>
      <c r="D635" s="18" t="s">
        <v>1742</v>
      </c>
      <c r="E635" s="18" t="s">
        <v>2027</v>
      </c>
      <c r="F635" s="12">
        <v>1</v>
      </c>
      <c r="G635" s="3" t="s">
        <v>0</v>
      </c>
      <c r="H635" s="39">
        <v>41375</v>
      </c>
      <c r="I635" s="27" t="s">
        <v>984</v>
      </c>
      <c r="J635" s="4" t="s">
        <v>1962</v>
      </c>
      <c r="K635" s="4" t="s">
        <v>988</v>
      </c>
      <c r="L635" s="29" t="s">
        <v>977</v>
      </c>
      <c r="M635" s="78">
        <f t="shared" si="121"/>
        <v>861.18</v>
      </c>
      <c r="N635" s="78">
        <f t="shared" si="128"/>
        <v>861.18</v>
      </c>
      <c r="O635" s="78">
        <v>861.18</v>
      </c>
      <c r="P635" s="72">
        <v>750</v>
      </c>
      <c r="Q635" s="256">
        <f t="shared" si="126"/>
        <v>165</v>
      </c>
      <c r="R635" s="256">
        <f t="shared" si="127"/>
        <v>915</v>
      </c>
      <c r="S635" s="296"/>
      <c r="T635" s="3">
        <v>33</v>
      </c>
      <c r="U635" s="294"/>
    </row>
    <row r="636" spans="1:21" ht="30" customHeight="1" x14ac:dyDescent="0.35">
      <c r="A636" s="218" t="s">
        <v>2911</v>
      </c>
      <c r="B636" s="3">
        <v>600</v>
      </c>
      <c r="C636" s="44">
        <v>10011915</v>
      </c>
      <c r="D636" s="18" t="s">
        <v>1743</v>
      </c>
      <c r="E636" s="18" t="s">
        <v>2027</v>
      </c>
      <c r="F636" s="12">
        <v>1</v>
      </c>
      <c r="G636" s="3" t="s">
        <v>0</v>
      </c>
      <c r="H636" s="39">
        <v>40179</v>
      </c>
      <c r="I636" s="27" t="s">
        <v>984</v>
      </c>
      <c r="J636" s="4" t="s">
        <v>1987</v>
      </c>
      <c r="K636" s="4" t="s">
        <v>988</v>
      </c>
      <c r="L636" s="29" t="s">
        <v>977</v>
      </c>
      <c r="M636" s="78">
        <f t="shared" ref="M636:M698" si="129">O636</f>
        <v>397.96</v>
      </c>
      <c r="N636" s="78">
        <f t="shared" si="128"/>
        <v>397.96</v>
      </c>
      <c r="O636" s="78">
        <v>397.96</v>
      </c>
      <c r="P636" s="72">
        <v>400</v>
      </c>
      <c r="Q636" s="256">
        <f t="shared" si="126"/>
        <v>88</v>
      </c>
      <c r="R636" s="256">
        <f t="shared" si="127"/>
        <v>488</v>
      </c>
      <c r="S636" s="296"/>
      <c r="T636" s="3">
        <v>33</v>
      </c>
      <c r="U636" s="294"/>
    </row>
    <row r="637" spans="1:21" ht="30" customHeight="1" x14ac:dyDescent="0.35">
      <c r="A637" s="218" t="s">
        <v>2912</v>
      </c>
      <c r="B637" s="3">
        <v>601</v>
      </c>
      <c r="C637" s="44">
        <v>10102498</v>
      </c>
      <c r="D637" s="18" t="s">
        <v>1744</v>
      </c>
      <c r="E637" s="18" t="s">
        <v>2027</v>
      </c>
      <c r="F637" s="12">
        <f>6-5</f>
        <v>1</v>
      </c>
      <c r="G637" s="3" t="s">
        <v>0</v>
      </c>
      <c r="H637" s="39">
        <v>41275</v>
      </c>
      <c r="I637" s="27" t="s">
        <v>984</v>
      </c>
      <c r="J637" s="4" t="s">
        <v>1988</v>
      </c>
      <c r="K637" s="4" t="s">
        <v>988</v>
      </c>
      <c r="L637" s="29" t="s">
        <v>977</v>
      </c>
      <c r="M637" s="78">
        <f t="shared" si="129"/>
        <v>502</v>
      </c>
      <c r="N637" s="78">
        <f t="shared" si="128"/>
        <v>502</v>
      </c>
      <c r="O637" s="78">
        <f>3012/6*1</f>
        <v>502</v>
      </c>
      <c r="P637" s="72">
        <v>440</v>
      </c>
      <c r="Q637" s="256">
        <f t="shared" si="126"/>
        <v>96.8</v>
      </c>
      <c r="R637" s="256">
        <f t="shared" si="127"/>
        <v>536.79999999999995</v>
      </c>
      <c r="S637" s="296"/>
      <c r="T637" s="3">
        <v>33</v>
      </c>
      <c r="U637" s="294"/>
    </row>
    <row r="638" spans="1:21" ht="66" customHeight="1" x14ac:dyDescent="0.35">
      <c r="A638" s="218" t="s">
        <v>4092</v>
      </c>
      <c r="B638" s="3">
        <v>602</v>
      </c>
      <c r="C638" s="44">
        <v>10102498</v>
      </c>
      <c r="D638" s="18" t="s">
        <v>1744</v>
      </c>
      <c r="E638" s="18" t="s">
        <v>2219</v>
      </c>
      <c r="F638" s="12">
        <v>5</v>
      </c>
      <c r="G638" s="3" t="s">
        <v>0</v>
      </c>
      <c r="H638" s="39">
        <v>41275</v>
      </c>
      <c r="I638" s="27" t="s">
        <v>984</v>
      </c>
      <c r="J638" s="4" t="s">
        <v>1962</v>
      </c>
      <c r="K638" s="4" t="s">
        <v>4270</v>
      </c>
      <c r="L638" s="29" t="s">
        <v>871</v>
      </c>
      <c r="M638" s="78">
        <f t="shared" si="129"/>
        <v>2510</v>
      </c>
      <c r="N638" s="78">
        <f t="shared" si="128"/>
        <v>502</v>
      </c>
      <c r="O638" s="78">
        <v>2510</v>
      </c>
      <c r="P638" s="72">
        <v>1290</v>
      </c>
      <c r="Q638" s="256">
        <f t="shared" si="126"/>
        <v>283.8</v>
      </c>
      <c r="R638" s="256">
        <f t="shared" si="127"/>
        <v>1573.8</v>
      </c>
      <c r="S638" s="296"/>
      <c r="T638" s="3">
        <v>33</v>
      </c>
      <c r="U638" s="294"/>
    </row>
    <row r="639" spans="1:21" ht="30" customHeight="1" x14ac:dyDescent="0.35">
      <c r="A639" s="218" t="s">
        <v>2913</v>
      </c>
      <c r="B639" s="3">
        <v>603</v>
      </c>
      <c r="C639" s="44">
        <v>10102004</v>
      </c>
      <c r="D639" s="18" t="s">
        <v>1746</v>
      </c>
      <c r="E639" s="18" t="s">
        <v>2027</v>
      </c>
      <c r="F639" s="12">
        <v>2</v>
      </c>
      <c r="G639" s="3" t="s">
        <v>0</v>
      </c>
      <c r="H639" s="39">
        <v>37987</v>
      </c>
      <c r="I639" s="27" t="s">
        <v>984</v>
      </c>
      <c r="J639" s="4" t="s">
        <v>1985</v>
      </c>
      <c r="K639" s="4" t="s">
        <v>988</v>
      </c>
      <c r="L639" s="29" t="s">
        <v>977</v>
      </c>
      <c r="M639" s="78">
        <f t="shared" si="129"/>
        <v>1432.58</v>
      </c>
      <c r="N639" s="78">
        <f t="shared" si="128"/>
        <v>716.29</v>
      </c>
      <c r="O639" s="78">
        <v>1432.58</v>
      </c>
      <c r="P639" s="72">
        <v>2180</v>
      </c>
      <c r="Q639" s="256">
        <f t="shared" si="126"/>
        <v>479.6</v>
      </c>
      <c r="R639" s="256">
        <f t="shared" si="127"/>
        <v>2659.6</v>
      </c>
      <c r="S639" s="296"/>
      <c r="T639" s="3">
        <v>33</v>
      </c>
      <c r="U639" s="294"/>
    </row>
    <row r="640" spans="1:21" ht="30" customHeight="1" x14ac:dyDescent="0.35">
      <c r="A640" s="218" t="s">
        <v>2914</v>
      </c>
      <c r="B640" s="3">
        <v>604</v>
      </c>
      <c r="C640" s="44">
        <v>10093231</v>
      </c>
      <c r="D640" s="18" t="s">
        <v>1747</v>
      </c>
      <c r="E640" s="18" t="s">
        <v>2027</v>
      </c>
      <c r="F640" s="12">
        <v>5</v>
      </c>
      <c r="G640" s="3" t="s">
        <v>0</v>
      </c>
      <c r="H640" s="39">
        <v>40909</v>
      </c>
      <c r="I640" s="27" t="s">
        <v>984</v>
      </c>
      <c r="J640" s="4" t="s">
        <v>1985</v>
      </c>
      <c r="K640" s="4" t="s">
        <v>988</v>
      </c>
      <c r="L640" s="29" t="s">
        <v>977</v>
      </c>
      <c r="M640" s="78">
        <f t="shared" si="129"/>
        <v>3895.5</v>
      </c>
      <c r="N640" s="78">
        <f t="shared" si="128"/>
        <v>779.1</v>
      </c>
      <c r="O640" s="78">
        <v>3895.5</v>
      </c>
      <c r="P640" s="72">
        <v>3400</v>
      </c>
      <c r="Q640" s="256">
        <f t="shared" si="126"/>
        <v>748</v>
      </c>
      <c r="R640" s="256">
        <f t="shared" si="127"/>
        <v>4148</v>
      </c>
      <c r="S640" s="296"/>
      <c r="T640" s="3">
        <v>33</v>
      </c>
      <c r="U640" s="294"/>
    </row>
    <row r="641" spans="1:21" ht="30" customHeight="1" x14ac:dyDescent="0.35">
      <c r="A641" s="218" t="s">
        <v>2915</v>
      </c>
      <c r="B641" s="3">
        <v>605</v>
      </c>
      <c r="C641" s="44">
        <v>10119292</v>
      </c>
      <c r="D641" s="18" t="s">
        <v>1748</v>
      </c>
      <c r="E641" s="18" t="s">
        <v>2027</v>
      </c>
      <c r="F641" s="12">
        <v>2</v>
      </c>
      <c r="G641" s="3" t="s">
        <v>0</v>
      </c>
      <c r="H641" s="39">
        <v>41533</v>
      </c>
      <c r="I641" s="27" t="s">
        <v>984</v>
      </c>
      <c r="J641" s="4" t="s">
        <v>1962</v>
      </c>
      <c r="K641" s="4" t="s">
        <v>988</v>
      </c>
      <c r="L641" s="29" t="s">
        <v>977</v>
      </c>
      <c r="M641" s="78">
        <f t="shared" si="129"/>
        <v>612</v>
      </c>
      <c r="N641" s="78">
        <f t="shared" si="128"/>
        <v>306</v>
      </c>
      <c r="O641" s="78">
        <v>612</v>
      </c>
      <c r="P641" s="72">
        <v>530</v>
      </c>
      <c r="Q641" s="256">
        <f t="shared" si="126"/>
        <v>116.6</v>
      </c>
      <c r="R641" s="256">
        <f t="shared" si="127"/>
        <v>646.6</v>
      </c>
      <c r="S641" s="296"/>
      <c r="T641" s="3">
        <v>33</v>
      </c>
      <c r="U641" s="294"/>
    </row>
    <row r="642" spans="1:21" ht="30" customHeight="1" x14ac:dyDescent="0.35">
      <c r="A642" s="218" t="s">
        <v>2916</v>
      </c>
      <c r="B642" s="3">
        <v>606</v>
      </c>
      <c r="C642" s="44">
        <v>10113986</v>
      </c>
      <c r="D642" s="18" t="s">
        <v>1758</v>
      </c>
      <c r="E642" s="18" t="s">
        <v>2027</v>
      </c>
      <c r="F642" s="12">
        <v>8</v>
      </c>
      <c r="G642" s="3" t="s">
        <v>0</v>
      </c>
      <c r="H642" s="39">
        <v>40179</v>
      </c>
      <c r="I642" s="27" t="s">
        <v>984</v>
      </c>
      <c r="J642" s="4" t="s">
        <v>1984</v>
      </c>
      <c r="K642" s="4" t="s">
        <v>988</v>
      </c>
      <c r="L642" s="29" t="s">
        <v>977</v>
      </c>
      <c r="M642" s="78">
        <f t="shared" si="129"/>
        <v>11280</v>
      </c>
      <c r="N642" s="78">
        <f t="shared" si="128"/>
        <v>1410</v>
      </c>
      <c r="O642" s="78">
        <v>11280</v>
      </c>
      <c r="P642" s="72">
        <v>11360</v>
      </c>
      <c r="Q642" s="256">
        <f t="shared" si="126"/>
        <v>2499.1999999999998</v>
      </c>
      <c r="R642" s="256">
        <f t="shared" si="127"/>
        <v>13859.2</v>
      </c>
      <c r="S642" s="296"/>
      <c r="T642" s="3">
        <v>33</v>
      </c>
      <c r="U642" s="294"/>
    </row>
    <row r="643" spans="1:21" ht="30" customHeight="1" x14ac:dyDescent="0.35">
      <c r="A643" s="218" t="s">
        <v>2917</v>
      </c>
      <c r="B643" s="3">
        <v>607</v>
      </c>
      <c r="C643" s="44">
        <v>10151755</v>
      </c>
      <c r="D643" s="18" t="s">
        <v>1765</v>
      </c>
      <c r="E643" s="18" t="s">
        <v>2027</v>
      </c>
      <c r="F643" s="12">
        <v>2</v>
      </c>
      <c r="G643" s="3" t="s">
        <v>0</v>
      </c>
      <c r="H643" s="39">
        <v>41486</v>
      </c>
      <c r="I643" s="27" t="s">
        <v>984</v>
      </c>
      <c r="J643" s="4" t="s">
        <v>1962</v>
      </c>
      <c r="K643" s="4" t="s">
        <v>988</v>
      </c>
      <c r="L643" s="29" t="s">
        <v>977</v>
      </c>
      <c r="M643" s="78">
        <f t="shared" si="129"/>
        <v>4606</v>
      </c>
      <c r="N643" s="78">
        <f t="shared" si="128"/>
        <v>2303</v>
      </c>
      <c r="O643" s="78">
        <v>4606</v>
      </c>
      <c r="P643" s="72">
        <v>4010</v>
      </c>
      <c r="Q643" s="256">
        <f t="shared" si="126"/>
        <v>882.2</v>
      </c>
      <c r="R643" s="256">
        <f t="shared" si="127"/>
        <v>4892.2</v>
      </c>
      <c r="S643" s="296"/>
      <c r="T643" s="3">
        <v>33</v>
      </c>
      <c r="U643" s="294"/>
    </row>
    <row r="644" spans="1:21" ht="30" customHeight="1" x14ac:dyDescent="0.35">
      <c r="A644" s="218" t="s">
        <v>2918</v>
      </c>
      <c r="B644" s="3">
        <v>608</v>
      </c>
      <c r="C644" s="44">
        <v>10119310</v>
      </c>
      <c r="D644" s="18" t="s">
        <v>1766</v>
      </c>
      <c r="E644" s="18" t="s">
        <v>2027</v>
      </c>
      <c r="F644" s="12">
        <v>1</v>
      </c>
      <c r="G644" s="3" t="s">
        <v>0</v>
      </c>
      <c r="H644" s="39">
        <v>41320</v>
      </c>
      <c r="I644" s="27" t="s">
        <v>984</v>
      </c>
      <c r="J644" s="4" t="s">
        <v>1962</v>
      </c>
      <c r="K644" s="4" t="s">
        <v>988</v>
      </c>
      <c r="L644" s="29" t="s">
        <v>977</v>
      </c>
      <c r="M644" s="78">
        <f t="shared" si="129"/>
        <v>3005</v>
      </c>
      <c r="N644" s="78">
        <f t="shared" si="128"/>
        <v>3005</v>
      </c>
      <c r="O644" s="78">
        <v>3005</v>
      </c>
      <c r="P644" s="72">
        <v>2630</v>
      </c>
      <c r="Q644" s="256">
        <f t="shared" si="126"/>
        <v>578.6</v>
      </c>
      <c r="R644" s="256">
        <f t="shared" si="127"/>
        <v>3208.6</v>
      </c>
      <c r="S644" s="296"/>
      <c r="T644" s="3">
        <v>33</v>
      </c>
      <c r="U644" s="294"/>
    </row>
    <row r="645" spans="1:21" ht="30" customHeight="1" x14ac:dyDescent="0.35">
      <c r="A645" s="218" t="s">
        <v>2919</v>
      </c>
      <c r="B645" s="3">
        <v>609</v>
      </c>
      <c r="C645" s="44">
        <v>10124548</v>
      </c>
      <c r="D645" s="18" t="s">
        <v>1768</v>
      </c>
      <c r="E645" s="18" t="s">
        <v>2027</v>
      </c>
      <c r="F645" s="12">
        <v>100</v>
      </c>
      <c r="G645" s="3" t="s">
        <v>0</v>
      </c>
      <c r="H645" s="39">
        <v>40179</v>
      </c>
      <c r="I645" s="27" t="s">
        <v>984</v>
      </c>
      <c r="J645" s="4" t="s">
        <v>1983</v>
      </c>
      <c r="K645" s="4" t="s">
        <v>988</v>
      </c>
      <c r="L645" s="29" t="s">
        <v>977</v>
      </c>
      <c r="M645" s="78">
        <f t="shared" si="129"/>
        <v>1653750</v>
      </c>
      <c r="N645" s="78">
        <f t="shared" si="128"/>
        <v>16537.5</v>
      </c>
      <c r="O645" s="78">
        <v>1653750</v>
      </c>
      <c r="P645" s="72">
        <v>1666000</v>
      </c>
      <c r="Q645" s="256">
        <f t="shared" si="126"/>
        <v>366520</v>
      </c>
      <c r="R645" s="256">
        <f t="shared" si="127"/>
        <v>2032520</v>
      </c>
      <c r="S645" s="296"/>
      <c r="T645" s="3">
        <v>33</v>
      </c>
      <c r="U645" s="294"/>
    </row>
    <row r="646" spans="1:21" ht="30" customHeight="1" x14ac:dyDescent="0.35">
      <c r="A646" s="218" t="s">
        <v>2920</v>
      </c>
      <c r="B646" s="3">
        <v>610</v>
      </c>
      <c r="C646" s="44">
        <v>10107595</v>
      </c>
      <c r="D646" s="18" t="s">
        <v>1774</v>
      </c>
      <c r="E646" s="18" t="s">
        <v>2027</v>
      </c>
      <c r="F646" s="12">
        <v>11</v>
      </c>
      <c r="G646" s="3" t="s">
        <v>0</v>
      </c>
      <c r="H646" s="39">
        <v>41542</v>
      </c>
      <c r="I646" s="27" t="s">
        <v>984</v>
      </c>
      <c r="J646" s="4" t="s">
        <v>1962</v>
      </c>
      <c r="K646" s="4" t="s">
        <v>988</v>
      </c>
      <c r="L646" s="29" t="s">
        <v>977</v>
      </c>
      <c r="M646" s="78">
        <f t="shared" si="129"/>
        <v>1072.17</v>
      </c>
      <c r="N646" s="78">
        <f t="shared" si="128"/>
        <v>97.47</v>
      </c>
      <c r="O646" s="78">
        <v>1072.17</v>
      </c>
      <c r="P646" s="72">
        <v>940</v>
      </c>
      <c r="Q646" s="256">
        <f t="shared" si="126"/>
        <v>206.8</v>
      </c>
      <c r="R646" s="256">
        <f t="shared" si="127"/>
        <v>1146.8</v>
      </c>
      <c r="S646" s="296"/>
      <c r="T646" s="3">
        <v>33</v>
      </c>
      <c r="U646" s="294"/>
    </row>
    <row r="647" spans="1:21" ht="30" customHeight="1" x14ac:dyDescent="0.35">
      <c r="A647" s="218" t="s">
        <v>2921</v>
      </c>
      <c r="B647" s="3">
        <v>611</v>
      </c>
      <c r="C647" s="44">
        <v>10030981</v>
      </c>
      <c r="D647" s="18" t="s">
        <v>1780</v>
      </c>
      <c r="E647" s="18" t="s">
        <v>2027</v>
      </c>
      <c r="F647" s="12">
        <v>3</v>
      </c>
      <c r="G647" s="3" t="s">
        <v>0</v>
      </c>
      <c r="H647" s="39">
        <v>42360</v>
      </c>
      <c r="I647" s="27" t="s">
        <v>984</v>
      </c>
      <c r="J647" s="4" t="s">
        <v>1962</v>
      </c>
      <c r="K647" s="4" t="s">
        <v>988</v>
      </c>
      <c r="L647" s="29" t="s">
        <v>977</v>
      </c>
      <c r="M647" s="78">
        <f t="shared" si="129"/>
        <v>3886.68</v>
      </c>
      <c r="N647" s="78">
        <f t="shared" si="128"/>
        <v>1295.56</v>
      </c>
      <c r="O647" s="78">
        <v>3886.68</v>
      </c>
      <c r="P647" s="72">
        <v>3070</v>
      </c>
      <c r="Q647" s="256">
        <f t="shared" si="126"/>
        <v>675.4</v>
      </c>
      <c r="R647" s="256">
        <f t="shared" si="127"/>
        <v>3745.4</v>
      </c>
      <c r="S647" s="296"/>
      <c r="T647" s="3">
        <v>33</v>
      </c>
      <c r="U647" s="294"/>
    </row>
    <row r="648" spans="1:21" ht="30" customHeight="1" x14ac:dyDescent="0.35">
      <c r="A648" s="218" t="s">
        <v>2922</v>
      </c>
      <c r="B648" s="3">
        <v>612</v>
      </c>
      <c r="C648" s="44">
        <v>102000953</v>
      </c>
      <c r="D648" s="18" t="s">
        <v>1873</v>
      </c>
      <c r="E648" s="18" t="s">
        <v>2027</v>
      </c>
      <c r="F648" s="12">
        <v>1</v>
      </c>
      <c r="G648" s="3" t="s">
        <v>0</v>
      </c>
      <c r="H648" s="39">
        <v>42004</v>
      </c>
      <c r="I648" s="27" t="s">
        <v>984</v>
      </c>
      <c r="J648" s="4" t="s">
        <v>1962</v>
      </c>
      <c r="K648" s="4" t="s">
        <v>988</v>
      </c>
      <c r="L648" s="29" t="s">
        <v>977</v>
      </c>
      <c r="M648" s="78">
        <f t="shared" si="129"/>
        <v>21527.63</v>
      </c>
      <c r="N648" s="78">
        <f t="shared" si="128"/>
        <v>21527.63</v>
      </c>
      <c r="O648" s="78">
        <v>21527.63</v>
      </c>
      <c r="P648" s="72">
        <v>18220</v>
      </c>
      <c r="Q648" s="256">
        <f t="shared" si="126"/>
        <v>4008.4</v>
      </c>
      <c r="R648" s="256">
        <f t="shared" si="127"/>
        <v>22228.400000000001</v>
      </c>
      <c r="S648" s="296"/>
      <c r="T648" s="3">
        <v>33</v>
      </c>
      <c r="U648" s="294"/>
    </row>
    <row r="649" spans="1:21" ht="30" customHeight="1" x14ac:dyDescent="0.35">
      <c r="A649" s="218" t="s">
        <v>2923</v>
      </c>
      <c r="B649" s="3">
        <v>613</v>
      </c>
      <c r="C649" s="44">
        <v>102001291</v>
      </c>
      <c r="D649" s="18" t="s">
        <v>1873</v>
      </c>
      <c r="E649" s="18" t="s">
        <v>2027</v>
      </c>
      <c r="F649" s="12">
        <v>1</v>
      </c>
      <c r="G649" s="3" t="s">
        <v>0</v>
      </c>
      <c r="H649" s="39">
        <v>42004</v>
      </c>
      <c r="I649" s="27" t="s">
        <v>984</v>
      </c>
      <c r="J649" s="4" t="s">
        <v>1962</v>
      </c>
      <c r="K649" s="4" t="s">
        <v>988</v>
      </c>
      <c r="L649" s="29" t="s">
        <v>977</v>
      </c>
      <c r="M649" s="78">
        <f t="shared" si="129"/>
        <v>21527.63</v>
      </c>
      <c r="N649" s="78">
        <f t="shared" si="128"/>
        <v>21527.63</v>
      </c>
      <c r="O649" s="78">
        <v>21527.63</v>
      </c>
      <c r="P649" s="72">
        <v>18220</v>
      </c>
      <c r="Q649" s="256">
        <f t="shared" si="126"/>
        <v>4008.4</v>
      </c>
      <c r="R649" s="256">
        <f t="shared" si="127"/>
        <v>22228.400000000001</v>
      </c>
      <c r="S649" s="296"/>
      <c r="T649" s="3">
        <v>33</v>
      </c>
      <c r="U649" s="294"/>
    </row>
    <row r="650" spans="1:21" ht="30" customHeight="1" x14ac:dyDescent="0.35">
      <c r="A650" s="218" t="s">
        <v>2924</v>
      </c>
      <c r="B650" s="3">
        <v>614</v>
      </c>
      <c r="C650" s="44">
        <v>10018535</v>
      </c>
      <c r="D650" s="18" t="s">
        <v>1875</v>
      </c>
      <c r="E650" s="18" t="s">
        <v>2027</v>
      </c>
      <c r="F650" s="12">
        <f>5-4</f>
        <v>1</v>
      </c>
      <c r="G650" s="3" t="s">
        <v>0</v>
      </c>
      <c r="H650" s="39">
        <v>40855</v>
      </c>
      <c r="I650" s="27" t="s">
        <v>984</v>
      </c>
      <c r="J650" s="4" t="s">
        <v>1974</v>
      </c>
      <c r="K650" s="4" t="s">
        <v>988</v>
      </c>
      <c r="L650" s="29" t="s">
        <v>977</v>
      </c>
      <c r="M650" s="78">
        <f t="shared" si="129"/>
        <v>2964.26</v>
      </c>
      <c r="N650" s="78">
        <f t="shared" si="128"/>
        <v>2964.26</v>
      </c>
      <c r="O650" s="78">
        <f>14821.3/5*1</f>
        <v>2964.26</v>
      </c>
      <c r="P650" s="72">
        <v>2600</v>
      </c>
      <c r="Q650" s="256">
        <f t="shared" si="126"/>
        <v>572</v>
      </c>
      <c r="R650" s="256">
        <f t="shared" si="127"/>
        <v>3172</v>
      </c>
      <c r="S650" s="296"/>
      <c r="T650" s="3">
        <v>33</v>
      </c>
      <c r="U650" s="294"/>
    </row>
    <row r="651" spans="1:21" ht="103.5" customHeight="1" x14ac:dyDescent="0.35">
      <c r="A651" s="218" t="s">
        <v>4093</v>
      </c>
      <c r="B651" s="3">
        <v>615</v>
      </c>
      <c r="C651" s="44">
        <v>10018535</v>
      </c>
      <c r="D651" s="18" t="s">
        <v>1875</v>
      </c>
      <c r="E651" s="18" t="s">
        <v>2219</v>
      </c>
      <c r="F651" s="12">
        <v>4</v>
      </c>
      <c r="G651" s="3" t="s">
        <v>0</v>
      </c>
      <c r="H651" s="39">
        <v>40855</v>
      </c>
      <c r="I651" s="27" t="s">
        <v>984</v>
      </c>
      <c r="J651" s="4" t="s">
        <v>1962</v>
      </c>
      <c r="K651" s="4" t="s">
        <v>4271</v>
      </c>
      <c r="L651" s="29" t="s">
        <v>871</v>
      </c>
      <c r="M651" s="78">
        <f t="shared" si="129"/>
        <v>11857.04</v>
      </c>
      <c r="N651" s="78">
        <f t="shared" si="128"/>
        <v>2964.26</v>
      </c>
      <c r="O651" s="78">
        <v>11857.04</v>
      </c>
      <c r="P651" s="72">
        <v>6120</v>
      </c>
      <c r="Q651" s="256">
        <f t="shared" si="126"/>
        <v>1346.4</v>
      </c>
      <c r="R651" s="256">
        <f t="shared" si="127"/>
        <v>7466.4</v>
      </c>
      <c r="S651" s="296"/>
      <c r="T651" s="3">
        <v>33</v>
      </c>
      <c r="U651" s="294"/>
    </row>
    <row r="652" spans="1:21" ht="30" customHeight="1" x14ac:dyDescent="0.35">
      <c r="A652" s="218" t="s">
        <v>2925</v>
      </c>
      <c r="B652" s="3">
        <v>616</v>
      </c>
      <c r="C652" s="44">
        <v>10019151</v>
      </c>
      <c r="D652" s="18" t="s">
        <v>1876</v>
      </c>
      <c r="E652" s="18" t="s">
        <v>2027</v>
      </c>
      <c r="F652" s="12">
        <v>1</v>
      </c>
      <c r="G652" s="3" t="s">
        <v>0</v>
      </c>
      <c r="H652" s="39">
        <v>40821</v>
      </c>
      <c r="I652" s="27" t="s">
        <v>984</v>
      </c>
      <c r="J652" s="4" t="s">
        <v>1974</v>
      </c>
      <c r="K652" s="4" t="s">
        <v>988</v>
      </c>
      <c r="L652" s="29" t="s">
        <v>977</v>
      </c>
      <c r="M652" s="78">
        <f t="shared" si="129"/>
        <v>1453.59</v>
      </c>
      <c r="N652" s="78">
        <f t="shared" si="128"/>
        <v>1453.59</v>
      </c>
      <c r="O652" s="78">
        <v>1453.59</v>
      </c>
      <c r="P652" s="72">
        <v>1280</v>
      </c>
      <c r="Q652" s="256">
        <f t="shared" si="126"/>
        <v>281.60000000000002</v>
      </c>
      <c r="R652" s="256">
        <f t="shared" si="127"/>
        <v>1561.6</v>
      </c>
      <c r="S652" s="296"/>
      <c r="T652" s="3">
        <v>33</v>
      </c>
      <c r="U652" s="294"/>
    </row>
    <row r="653" spans="1:21" ht="30" customHeight="1" x14ac:dyDescent="0.35">
      <c r="A653" s="218" t="s">
        <v>2926</v>
      </c>
      <c r="B653" s="3">
        <v>617</v>
      </c>
      <c r="C653" s="44">
        <v>10019154</v>
      </c>
      <c r="D653" s="18" t="s">
        <v>1877</v>
      </c>
      <c r="E653" s="18" t="s">
        <v>2027</v>
      </c>
      <c r="F653" s="12">
        <f>18-16</f>
        <v>2</v>
      </c>
      <c r="G653" s="3" t="s">
        <v>0</v>
      </c>
      <c r="H653" s="39">
        <v>40855</v>
      </c>
      <c r="I653" s="27" t="s">
        <v>984</v>
      </c>
      <c r="J653" s="4" t="s">
        <v>1974</v>
      </c>
      <c r="K653" s="4" t="s">
        <v>988</v>
      </c>
      <c r="L653" s="29" t="s">
        <v>977</v>
      </c>
      <c r="M653" s="78">
        <f t="shared" si="129"/>
        <v>5928.52</v>
      </c>
      <c r="N653" s="78">
        <f t="shared" si="128"/>
        <v>2964.26</v>
      </c>
      <c r="O653" s="78">
        <f>53356.68/18*2</f>
        <v>5928.52</v>
      </c>
      <c r="P653" s="72">
        <v>5210</v>
      </c>
      <c r="Q653" s="256">
        <f t="shared" si="126"/>
        <v>1146.2</v>
      </c>
      <c r="R653" s="256">
        <f t="shared" si="127"/>
        <v>6356.2</v>
      </c>
      <c r="S653" s="296"/>
      <c r="T653" s="3">
        <v>33</v>
      </c>
      <c r="U653" s="294"/>
    </row>
    <row r="654" spans="1:21" ht="88.5" customHeight="1" x14ac:dyDescent="0.35">
      <c r="A654" s="218" t="s">
        <v>4094</v>
      </c>
      <c r="B654" s="3">
        <v>618</v>
      </c>
      <c r="C654" s="44">
        <v>10019154</v>
      </c>
      <c r="D654" s="18" t="s">
        <v>1877</v>
      </c>
      <c r="E654" s="18" t="s">
        <v>2219</v>
      </c>
      <c r="F654" s="12">
        <v>16</v>
      </c>
      <c r="G654" s="3" t="s">
        <v>0</v>
      </c>
      <c r="H654" s="39">
        <v>40855</v>
      </c>
      <c r="I654" s="27" t="s">
        <v>984</v>
      </c>
      <c r="J654" s="4" t="s">
        <v>1962</v>
      </c>
      <c r="K654" s="4" t="s">
        <v>4272</v>
      </c>
      <c r="L654" s="29" t="s">
        <v>871</v>
      </c>
      <c r="M654" s="78">
        <f t="shared" si="129"/>
        <v>47428.160000000003</v>
      </c>
      <c r="N654" s="78">
        <f t="shared" si="128"/>
        <v>2964.26</v>
      </c>
      <c r="O654" s="78">
        <v>47428.160000000003</v>
      </c>
      <c r="P654" s="72">
        <v>24500</v>
      </c>
      <c r="Q654" s="256">
        <f t="shared" si="126"/>
        <v>5390</v>
      </c>
      <c r="R654" s="256">
        <f t="shared" si="127"/>
        <v>29890</v>
      </c>
      <c r="S654" s="296"/>
      <c r="T654" s="3">
        <v>33</v>
      </c>
      <c r="U654" s="294"/>
    </row>
    <row r="655" spans="1:21" ht="30" customHeight="1" x14ac:dyDescent="0.35">
      <c r="A655" s="218" t="s">
        <v>2927</v>
      </c>
      <c r="B655" s="3">
        <v>619</v>
      </c>
      <c r="C655" s="44">
        <v>10117873</v>
      </c>
      <c r="D655" s="18" t="s">
        <v>1878</v>
      </c>
      <c r="E655" s="18" t="s">
        <v>2027</v>
      </c>
      <c r="F655" s="12">
        <v>27</v>
      </c>
      <c r="G655" s="3" t="s">
        <v>0</v>
      </c>
      <c r="H655" s="39">
        <v>40855</v>
      </c>
      <c r="I655" s="27" t="s">
        <v>984</v>
      </c>
      <c r="J655" s="4" t="s">
        <v>1974</v>
      </c>
      <c r="K655" s="4" t="s">
        <v>988</v>
      </c>
      <c r="L655" s="29" t="s">
        <v>977</v>
      </c>
      <c r="M655" s="78">
        <f t="shared" si="129"/>
        <v>73170</v>
      </c>
      <c r="N655" s="78">
        <f t="shared" si="128"/>
        <v>2710</v>
      </c>
      <c r="O655" s="78">
        <v>73170</v>
      </c>
      <c r="P655" s="72">
        <v>64250</v>
      </c>
      <c r="Q655" s="256">
        <f t="shared" ref="Q655:Q686" si="130">R655-P655</f>
        <v>14135</v>
      </c>
      <c r="R655" s="256">
        <f t="shared" ref="R655:R686" si="131">P655*1.22</f>
        <v>78385</v>
      </c>
      <c r="S655" s="296"/>
      <c r="T655" s="3">
        <v>33</v>
      </c>
      <c r="U655" s="294"/>
    </row>
    <row r="656" spans="1:21" ht="30" customHeight="1" x14ac:dyDescent="0.35">
      <c r="A656" s="218" t="s">
        <v>2928</v>
      </c>
      <c r="B656" s="3">
        <v>620</v>
      </c>
      <c r="C656" s="44">
        <v>102001146</v>
      </c>
      <c r="D656" s="18" t="s">
        <v>1879</v>
      </c>
      <c r="E656" s="18" t="s">
        <v>2027</v>
      </c>
      <c r="F656" s="12">
        <v>1</v>
      </c>
      <c r="G656" s="3" t="s">
        <v>0</v>
      </c>
      <c r="H656" s="39">
        <v>42004</v>
      </c>
      <c r="I656" s="27" t="s">
        <v>984</v>
      </c>
      <c r="J656" s="4" t="s">
        <v>1962</v>
      </c>
      <c r="K656" s="4" t="s">
        <v>988</v>
      </c>
      <c r="L656" s="29" t="s">
        <v>977</v>
      </c>
      <c r="M656" s="78">
        <f t="shared" si="129"/>
        <v>29130</v>
      </c>
      <c r="N656" s="78">
        <f t="shared" si="128"/>
        <v>29130</v>
      </c>
      <c r="O656" s="78">
        <v>29130</v>
      </c>
      <c r="P656" s="72">
        <v>24660</v>
      </c>
      <c r="Q656" s="256">
        <f t="shared" si="130"/>
        <v>5425.2</v>
      </c>
      <c r="R656" s="256">
        <f t="shared" si="131"/>
        <v>30085.200000000001</v>
      </c>
      <c r="S656" s="296"/>
      <c r="T656" s="3">
        <v>33</v>
      </c>
      <c r="U656" s="294"/>
    </row>
    <row r="657" spans="1:21" ht="30" customHeight="1" x14ac:dyDescent="0.35">
      <c r="A657" s="218" t="s">
        <v>2929</v>
      </c>
      <c r="B657" s="3">
        <v>621</v>
      </c>
      <c r="C657" s="44">
        <v>102001383</v>
      </c>
      <c r="D657" s="18" t="s">
        <v>1880</v>
      </c>
      <c r="E657" s="18" t="s">
        <v>2027</v>
      </c>
      <c r="F657" s="12">
        <v>1</v>
      </c>
      <c r="G657" s="3" t="s">
        <v>0</v>
      </c>
      <c r="H657" s="39">
        <v>42004</v>
      </c>
      <c r="I657" s="27" t="s">
        <v>984</v>
      </c>
      <c r="J657" s="4" t="s">
        <v>1962</v>
      </c>
      <c r="K657" s="4" t="s">
        <v>988</v>
      </c>
      <c r="L657" s="29" t="s">
        <v>977</v>
      </c>
      <c r="M657" s="78">
        <f t="shared" si="129"/>
        <v>28850</v>
      </c>
      <c r="N657" s="78">
        <f t="shared" ref="N657:N685" si="132">O657/F657</f>
        <v>28850</v>
      </c>
      <c r="O657" s="78">
        <v>28850</v>
      </c>
      <c r="P657" s="72">
        <v>24420</v>
      </c>
      <c r="Q657" s="256">
        <f t="shared" si="130"/>
        <v>5372.4</v>
      </c>
      <c r="R657" s="256">
        <f t="shared" si="131"/>
        <v>29792.400000000001</v>
      </c>
      <c r="S657" s="296"/>
      <c r="T657" s="3">
        <v>33</v>
      </c>
      <c r="U657" s="294"/>
    </row>
    <row r="658" spans="1:21" ht="30" customHeight="1" x14ac:dyDescent="0.35">
      <c r="A658" s="218" t="s">
        <v>2930</v>
      </c>
      <c r="B658" s="3">
        <v>622</v>
      </c>
      <c r="C658" s="44">
        <v>10147713</v>
      </c>
      <c r="D658" s="18" t="s">
        <v>1881</v>
      </c>
      <c r="E658" s="18" t="s">
        <v>2027</v>
      </c>
      <c r="F658" s="12">
        <f>6-1</f>
        <v>5</v>
      </c>
      <c r="G658" s="3" t="s">
        <v>0</v>
      </c>
      <c r="H658" s="39">
        <v>42004</v>
      </c>
      <c r="I658" s="27" t="s">
        <v>984</v>
      </c>
      <c r="J658" s="4" t="s">
        <v>1962</v>
      </c>
      <c r="K658" s="4" t="s">
        <v>988</v>
      </c>
      <c r="L658" s="29" t="s">
        <v>977</v>
      </c>
      <c r="M658" s="78">
        <f t="shared" si="129"/>
        <v>195225</v>
      </c>
      <c r="N658" s="78">
        <f t="shared" si="132"/>
        <v>39045</v>
      </c>
      <c r="O658" s="78">
        <f>234270/6*5</f>
        <v>195225</v>
      </c>
      <c r="P658" s="72">
        <v>165250</v>
      </c>
      <c r="Q658" s="256">
        <f t="shared" si="130"/>
        <v>36355</v>
      </c>
      <c r="R658" s="256">
        <f t="shared" si="131"/>
        <v>201605</v>
      </c>
      <c r="S658" s="296"/>
      <c r="T658" s="3">
        <v>33</v>
      </c>
      <c r="U658" s="294"/>
    </row>
    <row r="659" spans="1:21" ht="30" customHeight="1" x14ac:dyDescent="0.35">
      <c r="A659" s="218" t="s">
        <v>2931</v>
      </c>
      <c r="B659" s="3">
        <v>623</v>
      </c>
      <c r="C659" s="44">
        <v>102000911</v>
      </c>
      <c r="D659" s="18" t="s">
        <v>1882</v>
      </c>
      <c r="E659" s="18" t="s">
        <v>2027</v>
      </c>
      <c r="F659" s="12">
        <v>1</v>
      </c>
      <c r="G659" s="3" t="s">
        <v>0</v>
      </c>
      <c r="H659" s="39">
        <v>42004</v>
      </c>
      <c r="I659" s="27" t="s">
        <v>984</v>
      </c>
      <c r="J659" s="4" t="s">
        <v>1962</v>
      </c>
      <c r="K659" s="4" t="s">
        <v>988</v>
      </c>
      <c r="L659" s="29" t="s">
        <v>977</v>
      </c>
      <c r="M659" s="78">
        <f t="shared" si="129"/>
        <v>27980</v>
      </c>
      <c r="N659" s="78">
        <f t="shared" si="132"/>
        <v>27980</v>
      </c>
      <c r="O659" s="78">
        <v>27980</v>
      </c>
      <c r="P659" s="72">
        <v>23680</v>
      </c>
      <c r="Q659" s="256">
        <f t="shared" si="130"/>
        <v>5209.6000000000004</v>
      </c>
      <c r="R659" s="256">
        <f t="shared" si="131"/>
        <v>28889.599999999999</v>
      </c>
      <c r="S659" s="296"/>
      <c r="T659" s="3">
        <v>33</v>
      </c>
      <c r="U659" s="294"/>
    </row>
    <row r="660" spans="1:21" ht="30" customHeight="1" x14ac:dyDescent="0.35">
      <c r="A660" s="218" t="s">
        <v>2932</v>
      </c>
      <c r="B660" s="3">
        <v>624</v>
      </c>
      <c r="C660" s="44">
        <v>10098139</v>
      </c>
      <c r="D660" s="18" t="s">
        <v>1883</v>
      </c>
      <c r="E660" s="18" t="s">
        <v>2027</v>
      </c>
      <c r="F660" s="12">
        <v>6</v>
      </c>
      <c r="G660" s="3" t="s">
        <v>0</v>
      </c>
      <c r="H660" s="39">
        <v>42004</v>
      </c>
      <c r="I660" s="27" t="s">
        <v>984</v>
      </c>
      <c r="J660" s="4" t="s">
        <v>1962</v>
      </c>
      <c r="K660" s="4" t="s">
        <v>988</v>
      </c>
      <c r="L660" s="29" t="s">
        <v>977</v>
      </c>
      <c r="M660" s="78">
        <f t="shared" si="129"/>
        <v>23400</v>
      </c>
      <c r="N660" s="78">
        <f t="shared" si="132"/>
        <v>3900</v>
      </c>
      <c r="O660" s="78">
        <v>23400</v>
      </c>
      <c r="P660" s="72">
        <v>19810</v>
      </c>
      <c r="Q660" s="256">
        <f t="shared" si="130"/>
        <v>4358.2</v>
      </c>
      <c r="R660" s="256">
        <f t="shared" si="131"/>
        <v>24168.2</v>
      </c>
      <c r="S660" s="296"/>
      <c r="T660" s="3">
        <v>33</v>
      </c>
      <c r="U660" s="294"/>
    </row>
    <row r="661" spans="1:21" ht="30" customHeight="1" x14ac:dyDescent="0.35">
      <c r="A661" s="218" t="s">
        <v>2933</v>
      </c>
      <c r="B661" s="3">
        <v>625</v>
      </c>
      <c r="C661" s="44">
        <v>10090267</v>
      </c>
      <c r="D661" s="18" t="s">
        <v>83</v>
      </c>
      <c r="E661" s="18" t="s">
        <v>2027</v>
      </c>
      <c r="F661" s="12">
        <v>9</v>
      </c>
      <c r="G661" s="3" t="s">
        <v>0</v>
      </c>
      <c r="H661" s="39">
        <v>42004</v>
      </c>
      <c r="I661" s="27" t="s">
        <v>984</v>
      </c>
      <c r="J661" s="4" t="s">
        <v>1962</v>
      </c>
      <c r="K661" s="4" t="s">
        <v>988</v>
      </c>
      <c r="L661" s="29" t="s">
        <v>977</v>
      </c>
      <c r="M661" s="78">
        <f t="shared" si="129"/>
        <v>35100</v>
      </c>
      <c r="N661" s="78">
        <f t="shared" si="132"/>
        <v>3900</v>
      </c>
      <c r="O661" s="78">
        <v>35100</v>
      </c>
      <c r="P661" s="72">
        <v>29710</v>
      </c>
      <c r="Q661" s="256">
        <f t="shared" si="130"/>
        <v>6536.2</v>
      </c>
      <c r="R661" s="256">
        <f t="shared" si="131"/>
        <v>36246.199999999997</v>
      </c>
      <c r="S661" s="296"/>
      <c r="T661" s="3">
        <v>33</v>
      </c>
      <c r="U661" s="294"/>
    </row>
    <row r="662" spans="1:21" ht="30" customHeight="1" x14ac:dyDescent="0.35">
      <c r="A662" s="218" t="s">
        <v>2934</v>
      </c>
      <c r="B662" s="3">
        <v>626</v>
      </c>
      <c r="C662" s="44">
        <v>10098624</v>
      </c>
      <c r="D662" s="18" t="s">
        <v>1884</v>
      </c>
      <c r="E662" s="18" t="s">
        <v>2027</v>
      </c>
      <c r="F662" s="12">
        <v>8</v>
      </c>
      <c r="G662" s="3" t="s">
        <v>0</v>
      </c>
      <c r="H662" s="39">
        <v>42004</v>
      </c>
      <c r="I662" s="27" t="s">
        <v>984</v>
      </c>
      <c r="J662" s="4" t="s">
        <v>1962</v>
      </c>
      <c r="K662" s="4" t="s">
        <v>988</v>
      </c>
      <c r="L662" s="29" t="s">
        <v>977</v>
      </c>
      <c r="M662" s="78">
        <f t="shared" si="129"/>
        <v>31200</v>
      </c>
      <c r="N662" s="78">
        <f t="shared" si="132"/>
        <v>3900</v>
      </c>
      <c r="O662" s="78">
        <v>31200</v>
      </c>
      <c r="P662" s="72">
        <v>26410</v>
      </c>
      <c r="Q662" s="256">
        <f t="shared" si="130"/>
        <v>5810.2</v>
      </c>
      <c r="R662" s="256">
        <f t="shared" si="131"/>
        <v>32220.2</v>
      </c>
      <c r="S662" s="296"/>
      <c r="T662" s="3">
        <v>33</v>
      </c>
      <c r="U662" s="294"/>
    </row>
    <row r="663" spans="1:21" ht="30" customHeight="1" x14ac:dyDescent="0.35">
      <c r="A663" s="218" t="s">
        <v>2935</v>
      </c>
      <c r="B663" s="3">
        <v>627</v>
      </c>
      <c r="C663" s="44">
        <v>10029371</v>
      </c>
      <c r="D663" s="18" t="s">
        <v>1885</v>
      </c>
      <c r="E663" s="18" t="s">
        <v>2027</v>
      </c>
      <c r="F663" s="12">
        <v>3</v>
      </c>
      <c r="G663" s="3" t="s">
        <v>0</v>
      </c>
      <c r="H663" s="39">
        <v>42004</v>
      </c>
      <c r="I663" s="27" t="s">
        <v>984</v>
      </c>
      <c r="J663" s="4" t="s">
        <v>1962</v>
      </c>
      <c r="K663" s="4" t="s">
        <v>988</v>
      </c>
      <c r="L663" s="29" t="s">
        <v>977</v>
      </c>
      <c r="M663" s="78">
        <f t="shared" si="129"/>
        <v>19995</v>
      </c>
      <c r="N663" s="78">
        <f t="shared" si="132"/>
        <v>6665</v>
      </c>
      <c r="O663" s="78">
        <v>19995</v>
      </c>
      <c r="P663" s="72">
        <v>16930</v>
      </c>
      <c r="Q663" s="256">
        <f t="shared" si="130"/>
        <v>3724.6</v>
      </c>
      <c r="R663" s="256">
        <f t="shared" si="131"/>
        <v>20654.599999999999</v>
      </c>
      <c r="S663" s="296"/>
      <c r="T663" s="3">
        <v>33</v>
      </c>
      <c r="U663" s="294"/>
    </row>
    <row r="664" spans="1:21" ht="30" customHeight="1" x14ac:dyDescent="0.35">
      <c r="A664" s="218" t="s">
        <v>2936</v>
      </c>
      <c r="B664" s="3">
        <v>628</v>
      </c>
      <c r="C664" s="44">
        <v>10095733</v>
      </c>
      <c r="D664" s="18" t="s">
        <v>1904</v>
      </c>
      <c r="E664" s="18" t="s">
        <v>2027</v>
      </c>
      <c r="F664" s="12">
        <v>2</v>
      </c>
      <c r="G664" s="3" t="s">
        <v>0</v>
      </c>
      <c r="H664" s="39">
        <v>42004</v>
      </c>
      <c r="I664" s="27" t="s">
        <v>984</v>
      </c>
      <c r="J664" s="4" t="s">
        <v>1962</v>
      </c>
      <c r="K664" s="4" t="s">
        <v>988</v>
      </c>
      <c r="L664" s="29" t="s">
        <v>977</v>
      </c>
      <c r="M664" s="78">
        <f t="shared" si="129"/>
        <v>17420</v>
      </c>
      <c r="N664" s="78">
        <f t="shared" si="132"/>
        <v>8710</v>
      </c>
      <c r="O664" s="78">
        <v>17420</v>
      </c>
      <c r="P664" s="72">
        <v>14750</v>
      </c>
      <c r="Q664" s="256">
        <f t="shared" si="130"/>
        <v>3245</v>
      </c>
      <c r="R664" s="256">
        <f t="shared" si="131"/>
        <v>17995</v>
      </c>
      <c r="S664" s="296"/>
      <c r="T664" s="3">
        <v>33</v>
      </c>
      <c r="U664" s="294"/>
    </row>
    <row r="665" spans="1:21" ht="30" customHeight="1" x14ac:dyDescent="0.35">
      <c r="A665" s="218" t="s">
        <v>2937</v>
      </c>
      <c r="B665" s="3">
        <v>629</v>
      </c>
      <c r="C665" s="44">
        <v>10096254</v>
      </c>
      <c r="D665" s="18" t="s">
        <v>1905</v>
      </c>
      <c r="E665" s="18" t="s">
        <v>2027</v>
      </c>
      <c r="F665" s="12">
        <v>2</v>
      </c>
      <c r="G665" s="3" t="s">
        <v>0</v>
      </c>
      <c r="H665" s="39">
        <v>42004</v>
      </c>
      <c r="I665" s="27" t="s">
        <v>984</v>
      </c>
      <c r="J665" s="4" t="s">
        <v>1962</v>
      </c>
      <c r="K665" s="4" t="s">
        <v>988</v>
      </c>
      <c r="L665" s="29" t="s">
        <v>977</v>
      </c>
      <c r="M665" s="78">
        <f t="shared" si="129"/>
        <v>9120</v>
      </c>
      <c r="N665" s="78">
        <f t="shared" si="132"/>
        <v>4560</v>
      </c>
      <c r="O665" s="78">
        <v>9120</v>
      </c>
      <c r="P665" s="72">
        <v>7720</v>
      </c>
      <c r="Q665" s="256">
        <f t="shared" si="130"/>
        <v>1698.4</v>
      </c>
      <c r="R665" s="256">
        <f t="shared" si="131"/>
        <v>9418.4</v>
      </c>
      <c r="S665" s="296"/>
      <c r="T665" s="3">
        <v>33</v>
      </c>
      <c r="U665" s="294"/>
    </row>
    <row r="666" spans="1:21" ht="30" customHeight="1" x14ac:dyDescent="0.35">
      <c r="A666" s="218" t="s">
        <v>2940</v>
      </c>
      <c r="B666" s="3">
        <v>630</v>
      </c>
      <c r="C666" s="44">
        <v>10094322</v>
      </c>
      <c r="D666" s="18" t="s">
        <v>1908</v>
      </c>
      <c r="E666" s="18" t="s">
        <v>2027</v>
      </c>
      <c r="F666" s="12">
        <v>2</v>
      </c>
      <c r="G666" s="3" t="s">
        <v>0</v>
      </c>
      <c r="H666" s="39">
        <v>41486</v>
      </c>
      <c r="I666" s="27" t="s">
        <v>984</v>
      </c>
      <c r="J666" s="4" t="s">
        <v>1962</v>
      </c>
      <c r="K666" s="4" t="s">
        <v>988</v>
      </c>
      <c r="L666" s="29" t="s">
        <v>977</v>
      </c>
      <c r="M666" s="78">
        <f t="shared" si="129"/>
        <v>28020</v>
      </c>
      <c r="N666" s="78">
        <f t="shared" si="132"/>
        <v>14010</v>
      </c>
      <c r="O666" s="78">
        <v>28020</v>
      </c>
      <c r="P666" s="72">
        <v>24410</v>
      </c>
      <c r="Q666" s="256">
        <f t="shared" si="130"/>
        <v>5370.2</v>
      </c>
      <c r="R666" s="256">
        <f t="shared" si="131"/>
        <v>29780.2</v>
      </c>
      <c r="S666" s="296"/>
      <c r="T666" s="3">
        <v>33</v>
      </c>
      <c r="U666" s="294"/>
    </row>
    <row r="667" spans="1:21" ht="30" customHeight="1" x14ac:dyDescent="0.35">
      <c r="A667" s="218" t="s">
        <v>2941</v>
      </c>
      <c r="B667" s="3">
        <v>631</v>
      </c>
      <c r="C667" s="44">
        <v>102001123</v>
      </c>
      <c r="D667" s="18" t="s">
        <v>1909</v>
      </c>
      <c r="E667" s="18" t="s">
        <v>2027</v>
      </c>
      <c r="F667" s="12">
        <v>2</v>
      </c>
      <c r="G667" s="3" t="s">
        <v>0</v>
      </c>
      <c r="H667" s="39">
        <v>42004</v>
      </c>
      <c r="I667" s="27" t="s">
        <v>984</v>
      </c>
      <c r="J667" s="4" t="s">
        <v>1962</v>
      </c>
      <c r="K667" s="4" t="s">
        <v>988</v>
      </c>
      <c r="L667" s="29" t="s">
        <v>977</v>
      </c>
      <c r="M667" s="78">
        <f t="shared" si="129"/>
        <v>159068.47</v>
      </c>
      <c r="N667" s="78">
        <f t="shared" si="132"/>
        <v>79534.240000000005</v>
      </c>
      <c r="O667" s="78">
        <v>159068.47</v>
      </c>
      <c r="P667" s="72">
        <v>134650</v>
      </c>
      <c r="Q667" s="256">
        <f t="shared" si="130"/>
        <v>29623</v>
      </c>
      <c r="R667" s="256">
        <f t="shared" si="131"/>
        <v>164273</v>
      </c>
      <c r="S667" s="296"/>
      <c r="T667" s="3">
        <v>33</v>
      </c>
      <c r="U667" s="294"/>
    </row>
    <row r="668" spans="1:21" ht="22.5" customHeight="1" x14ac:dyDescent="0.35">
      <c r="A668" s="218" t="s">
        <v>2942</v>
      </c>
      <c r="B668" s="3">
        <v>632</v>
      </c>
      <c r="C668" s="44">
        <v>10007997</v>
      </c>
      <c r="D668" s="18" t="s">
        <v>1910</v>
      </c>
      <c r="E668" s="18" t="s">
        <v>2027</v>
      </c>
      <c r="F668" s="12">
        <v>1</v>
      </c>
      <c r="G668" s="3" t="s">
        <v>0</v>
      </c>
      <c r="H668" s="39" t="s">
        <v>1959</v>
      </c>
      <c r="I668" s="27" t="s">
        <v>984</v>
      </c>
      <c r="J668" s="4" t="s">
        <v>1962</v>
      </c>
      <c r="K668" s="4" t="s">
        <v>988</v>
      </c>
      <c r="L668" s="29" t="s">
        <v>977</v>
      </c>
      <c r="M668" s="78">
        <f t="shared" si="129"/>
        <v>504.47</v>
      </c>
      <c r="N668" s="78">
        <f t="shared" si="132"/>
        <v>504.47</v>
      </c>
      <c r="O668" s="78">
        <v>504.47</v>
      </c>
      <c r="P668" s="72">
        <v>510</v>
      </c>
      <c r="Q668" s="256">
        <f t="shared" si="130"/>
        <v>112.2</v>
      </c>
      <c r="R668" s="256">
        <f t="shared" si="131"/>
        <v>622.20000000000005</v>
      </c>
      <c r="S668" s="296"/>
      <c r="T668" s="3">
        <v>33</v>
      </c>
      <c r="U668" s="294"/>
    </row>
    <row r="669" spans="1:21" ht="30" customHeight="1" x14ac:dyDescent="0.35">
      <c r="A669" s="218" t="s">
        <v>2943</v>
      </c>
      <c r="B669" s="3">
        <v>633</v>
      </c>
      <c r="C669" s="44">
        <v>10003086</v>
      </c>
      <c r="D669" s="18" t="s">
        <v>1911</v>
      </c>
      <c r="E669" s="18" t="s">
        <v>2027</v>
      </c>
      <c r="F669" s="12">
        <v>1</v>
      </c>
      <c r="G669" s="3" t="s">
        <v>0</v>
      </c>
      <c r="H669" s="39" t="s">
        <v>1959</v>
      </c>
      <c r="I669" s="27" t="s">
        <v>984</v>
      </c>
      <c r="J669" s="4" t="s">
        <v>1962</v>
      </c>
      <c r="K669" s="4" t="s">
        <v>988</v>
      </c>
      <c r="L669" s="29" t="s">
        <v>977</v>
      </c>
      <c r="M669" s="78">
        <f t="shared" si="129"/>
        <v>1980.71</v>
      </c>
      <c r="N669" s="78">
        <f t="shared" si="132"/>
        <v>1980.71</v>
      </c>
      <c r="O669" s="78">
        <v>1980.71</v>
      </c>
      <c r="P669" s="72">
        <v>1990</v>
      </c>
      <c r="Q669" s="256">
        <f t="shared" si="130"/>
        <v>437.8</v>
      </c>
      <c r="R669" s="256">
        <f t="shared" si="131"/>
        <v>2427.8000000000002</v>
      </c>
      <c r="S669" s="296"/>
      <c r="T669" s="3">
        <v>33</v>
      </c>
      <c r="U669" s="294"/>
    </row>
    <row r="670" spans="1:21" ht="30" customHeight="1" x14ac:dyDescent="0.35">
      <c r="A670" s="218" t="s">
        <v>2944</v>
      </c>
      <c r="B670" s="3">
        <v>634</v>
      </c>
      <c r="C670" s="65">
        <v>10151367</v>
      </c>
      <c r="D670" s="8" t="s">
        <v>1371</v>
      </c>
      <c r="E670" s="19" t="s">
        <v>2219</v>
      </c>
      <c r="F670" s="92">
        <v>2</v>
      </c>
      <c r="G670" s="3" t="s">
        <v>0</v>
      </c>
      <c r="H670" s="40">
        <v>41518</v>
      </c>
      <c r="I670" s="27" t="s">
        <v>984</v>
      </c>
      <c r="J670" s="41" t="s">
        <v>1406</v>
      </c>
      <c r="K670" s="4" t="s">
        <v>988</v>
      </c>
      <c r="L670" s="29" t="s">
        <v>977</v>
      </c>
      <c r="M670" s="78">
        <f t="shared" si="129"/>
        <v>32480</v>
      </c>
      <c r="N670" s="78">
        <f t="shared" si="132"/>
        <v>16240</v>
      </c>
      <c r="O670" s="78">
        <v>32480</v>
      </c>
      <c r="P670" s="72">
        <v>28360</v>
      </c>
      <c r="Q670" s="256">
        <f t="shared" si="130"/>
        <v>6239.2</v>
      </c>
      <c r="R670" s="256">
        <f t="shared" si="131"/>
        <v>34599.199999999997</v>
      </c>
      <c r="S670" s="296"/>
      <c r="T670" s="3">
        <v>33</v>
      </c>
      <c r="U670" s="294"/>
    </row>
    <row r="671" spans="1:21" ht="30" customHeight="1" x14ac:dyDescent="0.35">
      <c r="A671" s="218" t="s">
        <v>2945</v>
      </c>
      <c r="B671" s="3">
        <v>635</v>
      </c>
      <c r="C671" s="65">
        <v>10148069</v>
      </c>
      <c r="D671" s="8" t="s">
        <v>1372</v>
      </c>
      <c r="E671" s="19" t="s">
        <v>2219</v>
      </c>
      <c r="F671" s="92">
        <v>59</v>
      </c>
      <c r="G671" s="3" t="s">
        <v>0</v>
      </c>
      <c r="H671" s="40">
        <v>41456</v>
      </c>
      <c r="I671" s="27" t="s">
        <v>984</v>
      </c>
      <c r="J671" s="4" t="s">
        <v>1962</v>
      </c>
      <c r="K671" s="4" t="s">
        <v>988</v>
      </c>
      <c r="L671" s="29" t="s">
        <v>977</v>
      </c>
      <c r="M671" s="85">
        <f t="shared" si="129"/>
        <v>28596.12</v>
      </c>
      <c r="N671" s="85">
        <f t="shared" si="132"/>
        <v>484.68</v>
      </c>
      <c r="O671" s="78">
        <v>28596.12</v>
      </c>
      <c r="P671" s="72">
        <v>24910</v>
      </c>
      <c r="Q671" s="256">
        <f t="shared" si="130"/>
        <v>5480.2</v>
      </c>
      <c r="R671" s="256">
        <f t="shared" si="131"/>
        <v>30390.2</v>
      </c>
      <c r="S671" s="296"/>
      <c r="T671" s="3">
        <v>33</v>
      </c>
      <c r="U671" s="294"/>
    </row>
    <row r="672" spans="1:21" ht="30" customHeight="1" x14ac:dyDescent="0.35">
      <c r="A672" s="218" t="s">
        <v>2946</v>
      </c>
      <c r="B672" s="3">
        <v>636</v>
      </c>
      <c r="C672" s="65">
        <v>10148140</v>
      </c>
      <c r="D672" s="8" t="s">
        <v>570</v>
      </c>
      <c r="E672" s="19" t="s">
        <v>2219</v>
      </c>
      <c r="F672" s="92">
        <v>3</v>
      </c>
      <c r="G672" s="3" t="s">
        <v>0</v>
      </c>
      <c r="H672" s="40">
        <v>41518</v>
      </c>
      <c r="I672" s="27" t="s">
        <v>984</v>
      </c>
      <c r="J672" s="4" t="s">
        <v>1962</v>
      </c>
      <c r="K672" s="4" t="s">
        <v>988</v>
      </c>
      <c r="L672" s="29" t="s">
        <v>977</v>
      </c>
      <c r="M672" s="78">
        <f t="shared" si="129"/>
        <v>9669</v>
      </c>
      <c r="N672" s="78">
        <f t="shared" si="132"/>
        <v>3223</v>
      </c>
      <c r="O672" s="78">
        <v>9669</v>
      </c>
      <c r="P672" s="72">
        <v>8440</v>
      </c>
      <c r="Q672" s="256">
        <f t="shared" si="130"/>
        <v>1856.8</v>
      </c>
      <c r="R672" s="256">
        <f t="shared" si="131"/>
        <v>10296.799999999999</v>
      </c>
      <c r="S672" s="296"/>
      <c r="T672" s="3">
        <v>33</v>
      </c>
      <c r="U672" s="294"/>
    </row>
    <row r="673" spans="1:21" ht="66.75" customHeight="1" x14ac:dyDescent="0.35">
      <c r="A673" s="218" t="s">
        <v>2947</v>
      </c>
      <c r="B673" s="3">
        <v>637</v>
      </c>
      <c r="C673" s="65">
        <v>10148417</v>
      </c>
      <c r="D673" s="8" t="s">
        <v>1373</v>
      </c>
      <c r="E673" s="19" t="s">
        <v>2219</v>
      </c>
      <c r="F673" s="92">
        <v>5</v>
      </c>
      <c r="G673" s="3" t="s">
        <v>0</v>
      </c>
      <c r="H673" s="40">
        <v>41518</v>
      </c>
      <c r="I673" s="27" t="s">
        <v>984</v>
      </c>
      <c r="J673" s="41" t="s">
        <v>1407</v>
      </c>
      <c r="K673" s="4" t="s">
        <v>988</v>
      </c>
      <c r="L673" s="29" t="s">
        <v>977</v>
      </c>
      <c r="M673" s="78">
        <f t="shared" si="129"/>
        <v>65903.81</v>
      </c>
      <c r="N673" s="78">
        <f t="shared" si="132"/>
        <v>13180.76</v>
      </c>
      <c r="O673" s="78">
        <v>65903.81</v>
      </c>
      <c r="P673" s="72">
        <v>57550</v>
      </c>
      <c r="Q673" s="256">
        <f t="shared" si="130"/>
        <v>12661</v>
      </c>
      <c r="R673" s="256">
        <f t="shared" si="131"/>
        <v>70211</v>
      </c>
      <c r="S673" s="296"/>
      <c r="T673" s="3">
        <v>33</v>
      </c>
      <c r="U673" s="294"/>
    </row>
    <row r="674" spans="1:21" ht="62.25" customHeight="1" x14ac:dyDescent="0.35">
      <c r="A674" s="218" t="s">
        <v>2948</v>
      </c>
      <c r="B674" s="3">
        <v>638</v>
      </c>
      <c r="C674" s="65">
        <v>10151338</v>
      </c>
      <c r="D674" s="8" t="s">
        <v>1375</v>
      </c>
      <c r="E674" s="19" t="s">
        <v>2219</v>
      </c>
      <c r="F674" s="92">
        <v>1</v>
      </c>
      <c r="G674" s="3" t="s">
        <v>0</v>
      </c>
      <c r="H674" s="40">
        <v>41518</v>
      </c>
      <c r="I674" s="27" t="s">
        <v>984</v>
      </c>
      <c r="J674" s="41" t="s">
        <v>1408</v>
      </c>
      <c r="K674" s="4" t="s">
        <v>988</v>
      </c>
      <c r="L674" s="29" t="s">
        <v>977</v>
      </c>
      <c r="M674" s="78">
        <f t="shared" si="129"/>
        <v>13983.05</v>
      </c>
      <c r="N674" s="78">
        <f t="shared" si="132"/>
        <v>13983.05</v>
      </c>
      <c r="O674" s="78">
        <v>13983.05</v>
      </c>
      <c r="P674" s="72">
        <v>12210</v>
      </c>
      <c r="Q674" s="256">
        <f t="shared" si="130"/>
        <v>2686.2</v>
      </c>
      <c r="R674" s="256">
        <f t="shared" si="131"/>
        <v>14896.2</v>
      </c>
      <c r="S674" s="296"/>
      <c r="T674" s="3">
        <v>33</v>
      </c>
      <c r="U674" s="294"/>
    </row>
    <row r="675" spans="1:21" ht="30" customHeight="1" x14ac:dyDescent="0.35">
      <c r="A675" s="218" t="s">
        <v>2949</v>
      </c>
      <c r="B675" s="3">
        <v>639</v>
      </c>
      <c r="C675" s="65">
        <v>10148151</v>
      </c>
      <c r="D675" s="8" t="s">
        <v>1380</v>
      </c>
      <c r="E675" s="19" t="s">
        <v>2219</v>
      </c>
      <c r="F675" s="92">
        <v>3</v>
      </c>
      <c r="G675" s="3" t="s">
        <v>0</v>
      </c>
      <c r="H675" s="40">
        <v>41518</v>
      </c>
      <c r="I675" s="27" t="s">
        <v>984</v>
      </c>
      <c r="J675" s="4" t="s">
        <v>1962</v>
      </c>
      <c r="K675" s="4" t="s">
        <v>988</v>
      </c>
      <c r="L675" s="29" t="s">
        <v>977</v>
      </c>
      <c r="M675" s="78">
        <f t="shared" si="129"/>
        <v>42468</v>
      </c>
      <c r="N675" s="78">
        <f t="shared" si="132"/>
        <v>14156</v>
      </c>
      <c r="O675" s="78">
        <v>42468</v>
      </c>
      <c r="P675" s="72">
        <v>37080</v>
      </c>
      <c r="Q675" s="256">
        <f t="shared" si="130"/>
        <v>8157.6</v>
      </c>
      <c r="R675" s="256">
        <f t="shared" si="131"/>
        <v>45237.599999999999</v>
      </c>
      <c r="S675" s="296"/>
      <c r="T675" s="3">
        <v>33</v>
      </c>
      <c r="U675" s="294"/>
    </row>
    <row r="676" spans="1:21" ht="54" customHeight="1" x14ac:dyDescent="0.35">
      <c r="A676" s="218" t="s">
        <v>2950</v>
      </c>
      <c r="B676" s="3">
        <v>640</v>
      </c>
      <c r="C676" s="65">
        <v>10148141</v>
      </c>
      <c r="D676" s="8" t="s">
        <v>1381</v>
      </c>
      <c r="E676" s="19" t="s">
        <v>2219</v>
      </c>
      <c r="F676" s="92">
        <v>8</v>
      </c>
      <c r="G676" s="3" t="s">
        <v>0</v>
      </c>
      <c r="H676" s="40">
        <v>41518</v>
      </c>
      <c r="I676" s="27" t="s">
        <v>984</v>
      </c>
      <c r="J676" s="41" t="s">
        <v>1411</v>
      </c>
      <c r="K676" s="4" t="s">
        <v>988</v>
      </c>
      <c r="L676" s="29" t="s">
        <v>977</v>
      </c>
      <c r="M676" s="78">
        <f t="shared" si="129"/>
        <v>286520</v>
      </c>
      <c r="N676" s="78">
        <f t="shared" si="132"/>
        <v>35815</v>
      </c>
      <c r="O676" s="78">
        <v>286520</v>
      </c>
      <c r="P676" s="72">
        <v>250190</v>
      </c>
      <c r="Q676" s="256">
        <f t="shared" si="130"/>
        <v>55041.8</v>
      </c>
      <c r="R676" s="256">
        <f t="shared" si="131"/>
        <v>305231.8</v>
      </c>
      <c r="S676" s="296"/>
      <c r="T676" s="3">
        <v>33</v>
      </c>
      <c r="U676" s="294"/>
    </row>
    <row r="677" spans="1:21" ht="45" customHeight="1" x14ac:dyDescent="0.35">
      <c r="A677" s="218" t="s">
        <v>2951</v>
      </c>
      <c r="B677" s="3">
        <v>641</v>
      </c>
      <c r="C677" s="65">
        <v>10148146</v>
      </c>
      <c r="D677" s="8" t="s">
        <v>633</v>
      </c>
      <c r="E677" s="19" t="s">
        <v>2219</v>
      </c>
      <c r="F677" s="92">
        <v>2</v>
      </c>
      <c r="G677" s="3" t="s">
        <v>0</v>
      </c>
      <c r="H677" s="40">
        <v>41518</v>
      </c>
      <c r="I677" s="27" t="s">
        <v>984</v>
      </c>
      <c r="J677" s="41" t="s">
        <v>1411</v>
      </c>
      <c r="K677" s="4" t="s">
        <v>988</v>
      </c>
      <c r="L677" s="29" t="s">
        <v>977</v>
      </c>
      <c r="M677" s="78">
        <f t="shared" si="129"/>
        <v>68630</v>
      </c>
      <c r="N677" s="78">
        <f t="shared" si="132"/>
        <v>34315</v>
      </c>
      <c r="O677" s="78">
        <v>68630</v>
      </c>
      <c r="P677" s="72">
        <v>59930</v>
      </c>
      <c r="Q677" s="256">
        <f t="shared" si="130"/>
        <v>13184.6</v>
      </c>
      <c r="R677" s="256">
        <f t="shared" si="131"/>
        <v>73114.600000000006</v>
      </c>
      <c r="S677" s="296"/>
      <c r="T677" s="3">
        <v>33</v>
      </c>
      <c r="U677" s="294"/>
    </row>
    <row r="678" spans="1:21" ht="39.65" customHeight="1" x14ac:dyDescent="0.35">
      <c r="A678" s="218" t="s">
        <v>2952</v>
      </c>
      <c r="B678" s="3">
        <v>642</v>
      </c>
      <c r="C678" s="65">
        <v>10148160</v>
      </c>
      <c r="D678" s="8" t="s">
        <v>634</v>
      </c>
      <c r="E678" s="19" t="s">
        <v>2219</v>
      </c>
      <c r="F678" s="92">
        <v>7</v>
      </c>
      <c r="G678" s="3" t="s">
        <v>0</v>
      </c>
      <c r="H678" s="40">
        <v>41518</v>
      </c>
      <c r="I678" s="27" t="s">
        <v>984</v>
      </c>
      <c r="J678" s="41" t="s">
        <v>1411</v>
      </c>
      <c r="K678" s="4" t="s">
        <v>988</v>
      </c>
      <c r="L678" s="29" t="s">
        <v>977</v>
      </c>
      <c r="M678" s="78">
        <f t="shared" si="129"/>
        <v>61173</v>
      </c>
      <c r="N678" s="78">
        <f t="shared" si="132"/>
        <v>8739</v>
      </c>
      <c r="O678" s="78">
        <v>61173</v>
      </c>
      <c r="P678" s="72">
        <v>53420</v>
      </c>
      <c r="Q678" s="256">
        <f t="shared" si="130"/>
        <v>11752.4</v>
      </c>
      <c r="R678" s="256">
        <f t="shared" si="131"/>
        <v>65172.4</v>
      </c>
      <c r="S678" s="296"/>
      <c r="T678" s="3">
        <v>33</v>
      </c>
      <c r="U678" s="294"/>
    </row>
    <row r="679" spans="1:21" ht="43.5" customHeight="1" x14ac:dyDescent="0.35">
      <c r="A679" s="218" t="s">
        <v>2953</v>
      </c>
      <c r="B679" s="3">
        <v>643</v>
      </c>
      <c r="C679" s="65">
        <v>10148106</v>
      </c>
      <c r="D679" s="8" t="s">
        <v>1382</v>
      </c>
      <c r="E679" s="19" t="s">
        <v>2219</v>
      </c>
      <c r="F679" s="92">
        <v>11</v>
      </c>
      <c r="G679" s="3" t="s">
        <v>0</v>
      </c>
      <c r="H679" s="40">
        <v>41518</v>
      </c>
      <c r="I679" s="27" t="s">
        <v>984</v>
      </c>
      <c r="J679" s="41" t="s">
        <v>1411</v>
      </c>
      <c r="K679" s="4" t="s">
        <v>988</v>
      </c>
      <c r="L679" s="29" t="s">
        <v>977</v>
      </c>
      <c r="M679" s="78">
        <f t="shared" si="129"/>
        <v>103829</v>
      </c>
      <c r="N679" s="78">
        <f t="shared" si="132"/>
        <v>9439</v>
      </c>
      <c r="O679" s="78">
        <v>103829</v>
      </c>
      <c r="P679" s="72">
        <v>90670</v>
      </c>
      <c r="Q679" s="256">
        <f t="shared" si="130"/>
        <v>19947.400000000001</v>
      </c>
      <c r="R679" s="256">
        <f t="shared" si="131"/>
        <v>110617.4</v>
      </c>
      <c r="S679" s="296"/>
      <c r="T679" s="3">
        <v>33</v>
      </c>
      <c r="U679" s="294"/>
    </row>
    <row r="680" spans="1:21" ht="30" customHeight="1" x14ac:dyDescent="0.35">
      <c r="A680" s="218" t="s">
        <v>2954</v>
      </c>
      <c r="B680" s="3">
        <v>644</v>
      </c>
      <c r="C680" s="65">
        <v>10148152</v>
      </c>
      <c r="D680" s="8" t="s">
        <v>1383</v>
      </c>
      <c r="E680" s="19" t="s">
        <v>2219</v>
      </c>
      <c r="F680" s="92">
        <v>2</v>
      </c>
      <c r="G680" s="3" t="s">
        <v>0</v>
      </c>
      <c r="H680" s="40">
        <v>41518</v>
      </c>
      <c r="I680" s="27" t="s">
        <v>984</v>
      </c>
      <c r="J680" s="4" t="s">
        <v>1962</v>
      </c>
      <c r="K680" s="4" t="s">
        <v>988</v>
      </c>
      <c r="L680" s="29" t="s">
        <v>977</v>
      </c>
      <c r="M680" s="78">
        <f t="shared" si="129"/>
        <v>1966</v>
      </c>
      <c r="N680" s="78">
        <f t="shared" si="132"/>
        <v>983</v>
      </c>
      <c r="O680" s="78">
        <v>1966</v>
      </c>
      <c r="P680" s="72">
        <v>1720</v>
      </c>
      <c r="Q680" s="256">
        <f t="shared" si="130"/>
        <v>378.4</v>
      </c>
      <c r="R680" s="256">
        <f t="shared" si="131"/>
        <v>2098.4</v>
      </c>
      <c r="S680" s="296"/>
      <c r="T680" s="3">
        <v>33</v>
      </c>
      <c r="U680" s="294"/>
    </row>
    <row r="681" spans="1:21" ht="30" customHeight="1" x14ac:dyDescent="0.35">
      <c r="A681" s="218" t="s">
        <v>2955</v>
      </c>
      <c r="B681" s="3">
        <v>645</v>
      </c>
      <c r="C681" s="65">
        <v>10148119</v>
      </c>
      <c r="D681" s="8" t="s">
        <v>1384</v>
      </c>
      <c r="E681" s="19" t="s">
        <v>2219</v>
      </c>
      <c r="F681" s="92">
        <v>24</v>
      </c>
      <c r="G681" s="3" t="s">
        <v>0</v>
      </c>
      <c r="H681" s="40">
        <v>41518</v>
      </c>
      <c r="I681" s="27" t="s">
        <v>984</v>
      </c>
      <c r="J681" s="4" t="s">
        <v>1962</v>
      </c>
      <c r="K681" s="4" t="s">
        <v>988</v>
      </c>
      <c r="L681" s="29" t="s">
        <v>977</v>
      </c>
      <c r="M681" s="78">
        <f t="shared" si="129"/>
        <v>86376</v>
      </c>
      <c r="N681" s="78">
        <f t="shared" si="132"/>
        <v>3599</v>
      </c>
      <c r="O681" s="78">
        <v>86376</v>
      </c>
      <c r="P681" s="72">
        <v>75420</v>
      </c>
      <c r="Q681" s="256">
        <f t="shared" si="130"/>
        <v>16592.400000000001</v>
      </c>
      <c r="R681" s="256">
        <f t="shared" si="131"/>
        <v>92012.4</v>
      </c>
      <c r="S681" s="296"/>
      <c r="T681" s="3">
        <v>33</v>
      </c>
      <c r="U681" s="294"/>
    </row>
    <row r="682" spans="1:21" ht="30" customHeight="1" x14ac:dyDescent="0.35">
      <c r="A682" s="218" t="s">
        <v>2956</v>
      </c>
      <c r="B682" s="3">
        <v>646</v>
      </c>
      <c r="C682" s="65">
        <v>10148105</v>
      </c>
      <c r="D682" s="8" t="s">
        <v>1385</v>
      </c>
      <c r="E682" s="19" t="s">
        <v>2219</v>
      </c>
      <c r="F682" s="92">
        <v>19</v>
      </c>
      <c r="G682" s="3" t="s">
        <v>0</v>
      </c>
      <c r="H682" s="40">
        <v>41518</v>
      </c>
      <c r="I682" s="27" t="s">
        <v>984</v>
      </c>
      <c r="J682" s="4" t="s">
        <v>1962</v>
      </c>
      <c r="K682" s="4" t="s">
        <v>988</v>
      </c>
      <c r="L682" s="29" t="s">
        <v>977</v>
      </c>
      <c r="M682" s="78">
        <f t="shared" si="129"/>
        <v>68381</v>
      </c>
      <c r="N682" s="78">
        <f t="shared" si="132"/>
        <v>3599</v>
      </c>
      <c r="O682" s="78">
        <v>68381</v>
      </c>
      <c r="P682" s="72">
        <v>59710</v>
      </c>
      <c r="Q682" s="256">
        <f t="shared" si="130"/>
        <v>13136.2</v>
      </c>
      <c r="R682" s="256">
        <f t="shared" si="131"/>
        <v>72846.2</v>
      </c>
      <c r="S682" s="296"/>
      <c r="T682" s="3">
        <v>33</v>
      </c>
      <c r="U682" s="294"/>
    </row>
    <row r="683" spans="1:21" ht="45" customHeight="1" x14ac:dyDescent="0.35">
      <c r="A683" s="218" t="s">
        <v>2957</v>
      </c>
      <c r="B683" s="3">
        <v>647</v>
      </c>
      <c r="C683" s="65">
        <v>10131839</v>
      </c>
      <c r="D683" s="8" t="s">
        <v>67</v>
      </c>
      <c r="E683" s="19" t="s">
        <v>2219</v>
      </c>
      <c r="F683" s="92">
        <v>4</v>
      </c>
      <c r="G683" s="3" t="s">
        <v>0</v>
      </c>
      <c r="H683" s="40">
        <v>41518</v>
      </c>
      <c r="I683" s="27" t="s">
        <v>984</v>
      </c>
      <c r="J683" s="41" t="s">
        <v>1411</v>
      </c>
      <c r="K683" s="4" t="s">
        <v>988</v>
      </c>
      <c r="L683" s="29" t="s">
        <v>977</v>
      </c>
      <c r="M683" s="78">
        <f t="shared" si="129"/>
        <v>96780.34</v>
      </c>
      <c r="N683" s="78">
        <f t="shared" si="132"/>
        <v>24195.09</v>
      </c>
      <c r="O683" s="78">
        <v>96780.34</v>
      </c>
      <c r="P683" s="72">
        <v>84510</v>
      </c>
      <c r="Q683" s="256">
        <f t="shared" si="130"/>
        <v>18592.2</v>
      </c>
      <c r="R683" s="256">
        <f t="shared" si="131"/>
        <v>103102.2</v>
      </c>
      <c r="S683" s="296"/>
      <c r="T683" s="3">
        <v>33</v>
      </c>
      <c r="U683" s="294"/>
    </row>
    <row r="684" spans="1:21" ht="30" customHeight="1" x14ac:dyDescent="0.35">
      <c r="A684" s="218" t="s">
        <v>2958</v>
      </c>
      <c r="B684" s="3">
        <v>648</v>
      </c>
      <c r="C684" s="65">
        <v>10148163</v>
      </c>
      <c r="D684" s="8" t="s">
        <v>1386</v>
      </c>
      <c r="E684" s="19" t="s">
        <v>2219</v>
      </c>
      <c r="F684" s="92">
        <v>6</v>
      </c>
      <c r="G684" s="3" t="s">
        <v>0</v>
      </c>
      <c r="H684" s="40">
        <v>41518</v>
      </c>
      <c r="I684" s="27" t="s">
        <v>984</v>
      </c>
      <c r="J684" s="4" t="s">
        <v>1962</v>
      </c>
      <c r="K684" s="4" t="s">
        <v>988</v>
      </c>
      <c r="L684" s="29" t="s">
        <v>977</v>
      </c>
      <c r="M684" s="78">
        <f t="shared" si="129"/>
        <v>63234</v>
      </c>
      <c r="N684" s="78">
        <f t="shared" si="132"/>
        <v>10539</v>
      </c>
      <c r="O684" s="78">
        <v>63234</v>
      </c>
      <c r="P684" s="72">
        <v>55220</v>
      </c>
      <c r="Q684" s="256">
        <f t="shared" si="130"/>
        <v>12148.4</v>
      </c>
      <c r="R684" s="256">
        <f t="shared" si="131"/>
        <v>67368.399999999994</v>
      </c>
      <c r="S684" s="296"/>
      <c r="T684" s="3">
        <v>33</v>
      </c>
      <c r="U684" s="294"/>
    </row>
    <row r="685" spans="1:21" ht="30" customHeight="1" x14ac:dyDescent="0.35">
      <c r="A685" s="218" t="s">
        <v>2959</v>
      </c>
      <c r="B685" s="3">
        <v>649</v>
      </c>
      <c r="C685" s="65">
        <v>10148162</v>
      </c>
      <c r="D685" s="8" t="s">
        <v>1393</v>
      </c>
      <c r="E685" s="19" t="s">
        <v>2219</v>
      </c>
      <c r="F685" s="92">
        <v>3</v>
      </c>
      <c r="G685" s="3" t="s">
        <v>0</v>
      </c>
      <c r="H685" s="40">
        <v>41518</v>
      </c>
      <c r="I685" s="27" t="s">
        <v>984</v>
      </c>
      <c r="J685" s="4" t="s">
        <v>1962</v>
      </c>
      <c r="K685" s="4" t="s">
        <v>988</v>
      </c>
      <c r="L685" s="29" t="s">
        <v>977</v>
      </c>
      <c r="M685" s="78">
        <f t="shared" si="129"/>
        <v>15810</v>
      </c>
      <c r="N685" s="78">
        <f t="shared" si="132"/>
        <v>5270</v>
      </c>
      <c r="O685" s="78">
        <v>15810</v>
      </c>
      <c r="P685" s="72">
        <v>13810</v>
      </c>
      <c r="Q685" s="256">
        <f t="shared" si="130"/>
        <v>3038.2</v>
      </c>
      <c r="R685" s="256">
        <f t="shared" si="131"/>
        <v>16848.2</v>
      </c>
      <c r="S685" s="296"/>
      <c r="T685" s="3">
        <v>33</v>
      </c>
      <c r="U685" s="294"/>
    </row>
    <row r="686" spans="1:21" ht="59.25" customHeight="1" x14ac:dyDescent="0.35">
      <c r="A686" s="218" t="s">
        <v>2960</v>
      </c>
      <c r="B686" s="3">
        <v>650</v>
      </c>
      <c r="C686" s="65">
        <v>102001628</v>
      </c>
      <c r="D686" s="8" t="s">
        <v>1396</v>
      </c>
      <c r="E686" s="19" t="s">
        <v>2219</v>
      </c>
      <c r="F686" s="92">
        <f>3-1</f>
        <v>2</v>
      </c>
      <c r="G686" s="3" t="s">
        <v>0</v>
      </c>
      <c r="H686" s="40">
        <v>41487</v>
      </c>
      <c r="I686" s="27" t="s">
        <v>984</v>
      </c>
      <c r="J686" s="41" t="s">
        <v>1413</v>
      </c>
      <c r="K686" s="4" t="s">
        <v>988</v>
      </c>
      <c r="L686" s="29" t="s">
        <v>977</v>
      </c>
      <c r="M686" s="78">
        <f t="shared" si="129"/>
        <v>128560</v>
      </c>
      <c r="N686" s="78">
        <f t="shared" ref="N686:N687" si="133">O686/F686</f>
        <v>64280</v>
      </c>
      <c r="O686" s="78">
        <f>192840/3*2</f>
        <v>128560</v>
      </c>
      <c r="P686" s="72">
        <v>112010</v>
      </c>
      <c r="Q686" s="256">
        <f t="shared" si="130"/>
        <v>24642.2</v>
      </c>
      <c r="R686" s="256">
        <f t="shared" si="131"/>
        <v>136652.20000000001</v>
      </c>
      <c r="S686" s="296"/>
      <c r="T686" s="3">
        <v>33</v>
      </c>
      <c r="U686" s="294"/>
    </row>
    <row r="687" spans="1:21" ht="30" customHeight="1" x14ac:dyDescent="0.35">
      <c r="A687" s="218" t="s">
        <v>2961</v>
      </c>
      <c r="B687" s="3">
        <v>651</v>
      </c>
      <c r="C687" s="65">
        <v>10148145</v>
      </c>
      <c r="D687" s="8" t="s">
        <v>1401</v>
      </c>
      <c r="E687" s="19" t="s">
        <v>2219</v>
      </c>
      <c r="F687" s="92">
        <v>4</v>
      </c>
      <c r="G687" s="3" t="s">
        <v>0</v>
      </c>
      <c r="H687" s="40">
        <v>41518</v>
      </c>
      <c r="I687" s="27" t="s">
        <v>984</v>
      </c>
      <c r="J687" s="4" t="s">
        <v>1962</v>
      </c>
      <c r="K687" s="4" t="s">
        <v>988</v>
      </c>
      <c r="L687" s="29" t="s">
        <v>977</v>
      </c>
      <c r="M687" s="78">
        <f t="shared" si="129"/>
        <v>46380</v>
      </c>
      <c r="N687" s="78">
        <f t="shared" si="133"/>
        <v>11595</v>
      </c>
      <c r="O687" s="78">
        <v>46380</v>
      </c>
      <c r="P687" s="72">
        <v>40500</v>
      </c>
      <c r="Q687" s="256">
        <f t="shared" ref="Q687:Q692" si="134">R687-P687</f>
        <v>8910</v>
      </c>
      <c r="R687" s="256">
        <f t="shared" ref="R687:R692" si="135">P687*1.22</f>
        <v>49410</v>
      </c>
      <c r="S687" s="296"/>
      <c r="T687" s="3">
        <v>33</v>
      </c>
      <c r="U687" s="294"/>
    </row>
    <row r="688" spans="1:21" ht="30" customHeight="1" x14ac:dyDescent="0.35">
      <c r="A688" s="218" t="s">
        <v>4163</v>
      </c>
      <c r="B688" s="3">
        <v>652</v>
      </c>
      <c r="C688" s="44">
        <v>10019248</v>
      </c>
      <c r="D688" s="18" t="s">
        <v>4162</v>
      </c>
      <c r="E688" s="18" t="s">
        <v>2027</v>
      </c>
      <c r="F688" s="12">
        <v>2</v>
      </c>
      <c r="G688" s="3" t="s">
        <v>0</v>
      </c>
      <c r="H688" s="39">
        <v>41122</v>
      </c>
      <c r="I688" s="27" t="s">
        <v>984</v>
      </c>
      <c r="J688" s="4" t="s">
        <v>1962</v>
      </c>
      <c r="K688" s="4" t="s">
        <v>988</v>
      </c>
      <c r="L688" s="29" t="s">
        <v>977</v>
      </c>
      <c r="M688" s="78">
        <f t="shared" ref="M688" si="136">O688</f>
        <v>3133.94</v>
      </c>
      <c r="N688" s="78">
        <f t="shared" ref="N688" si="137">O688/F688</f>
        <v>1566.97</v>
      </c>
      <c r="O688" s="78">
        <v>3133.94</v>
      </c>
      <c r="P688" s="72">
        <v>2730</v>
      </c>
      <c r="Q688" s="256">
        <f t="shared" si="134"/>
        <v>600.6</v>
      </c>
      <c r="R688" s="256">
        <f t="shared" si="135"/>
        <v>3330.6</v>
      </c>
      <c r="S688" s="296"/>
      <c r="T688" s="3">
        <v>33</v>
      </c>
      <c r="U688" s="294"/>
    </row>
    <row r="689" spans="1:21" ht="30" customHeight="1" x14ac:dyDescent="0.35">
      <c r="A689" s="218" t="s">
        <v>4164</v>
      </c>
      <c r="B689" s="3">
        <v>653</v>
      </c>
      <c r="C689" s="44">
        <v>10019531</v>
      </c>
      <c r="D689" s="18" t="s">
        <v>594</v>
      </c>
      <c r="E689" s="18" t="s">
        <v>2027</v>
      </c>
      <c r="F689" s="12">
        <v>2</v>
      </c>
      <c r="G689" s="3" t="s">
        <v>0</v>
      </c>
      <c r="H689" s="39">
        <v>40179</v>
      </c>
      <c r="I689" s="27" t="s">
        <v>984</v>
      </c>
      <c r="J689" s="4" t="s">
        <v>4165</v>
      </c>
      <c r="K689" s="4" t="s">
        <v>988</v>
      </c>
      <c r="L689" s="29" t="s">
        <v>977</v>
      </c>
      <c r="M689" s="78">
        <v>63840</v>
      </c>
      <c r="N689" s="78">
        <v>31920</v>
      </c>
      <c r="O689" s="78">
        <v>63840</v>
      </c>
      <c r="P689" s="72">
        <v>64310</v>
      </c>
      <c r="Q689" s="256">
        <f t="shared" si="134"/>
        <v>14148.2</v>
      </c>
      <c r="R689" s="256">
        <f t="shared" si="135"/>
        <v>78458.2</v>
      </c>
      <c r="S689" s="296"/>
      <c r="T689" s="3">
        <v>33</v>
      </c>
      <c r="U689" s="294"/>
    </row>
    <row r="690" spans="1:21" ht="30" customHeight="1" x14ac:dyDescent="0.35">
      <c r="A690" s="218" t="s">
        <v>4166</v>
      </c>
      <c r="B690" s="3">
        <v>654</v>
      </c>
      <c r="C690" s="44">
        <v>10092284</v>
      </c>
      <c r="D690" s="18" t="s">
        <v>57</v>
      </c>
      <c r="E690" s="18" t="s">
        <v>2027</v>
      </c>
      <c r="F690" s="12">
        <v>3</v>
      </c>
      <c r="G690" s="3" t="s">
        <v>0</v>
      </c>
      <c r="H690" s="39">
        <v>40217</v>
      </c>
      <c r="I690" s="27" t="s">
        <v>984</v>
      </c>
      <c r="J690" s="4" t="s">
        <v>1962</v>
      </c>
      <c r="K690" s="4" t="s">
        <v>988</v>
      </c>
      <c r="L690" s="29" t="s">
        <v>977</v>
      </c>
      <c r="M690" s="78">
        <f>O690</f>
        <v>32890.61</v>
      </c>
      <c r="N690" s="78">
        <f t="shared" ref="N690" si="138">O690/F690</f>
        <v>10963.54</v>
      </c>
      <c r="O690" s="78">
        <v>32890.61</v>
      </c>
      <c r="P690" s="72">
        <v>32940</v>
      </c>
      <c r="Q690" s="256">
        <f t="shared" si="134"/>
        <v>7246.8</v>
      </c>
      <c r="R690" s="256">
        <f t="shared" si="135"/>
        <v>40186.800000000003</v>
      </c>
      <c r="S690" s="296"/>
      <c r="T690" s="3">
        <v>33</v>
      </c>
      <c r="U690" s="294"/>
    </row>
    <row r="691" spans="1:21" ht="30" customHeight="1" x14ac:dyDescent="0.35">
      <c r="A691" s="218" t="s">
        <v>4171</v>
      </c>
      <c r="B691" s="3">
        <v>655</v>
      </c>
      <c r="C691" s="44">
        <v>10111935</v>
      </c>
      <c r="D691" s="18" t="s">
        <v>1156</v>
      </c>
      <c r="E691" s="18" t="s">
        <v>2027</v>
      </c>
      <c r="F691" s="12">
        <v>224</v>
      </c>
      <c r="G691" s="3" t="s">
        <v>0</v>
      </c>
      <c r="H691" s="39">
        <v>40909</v>
      </c>
      <c r="I691" s="27" t="s">
        <v>984</v>
      </c>
      <c r="J691" s="4" t="s">
        <v>4172</v>
      </c>
      <c r="K691" s="4" t="s">
        <v>988</v>
      </c>
      <c r="L691" s="29" t="s">
        <v>977</v>
      </c>
      <c r="M691" s="78">
        <f>O691</f>
        <v>1383220.3</v>
      </c>
      <c r="N691" s="78">
        <f>O691/F691</f>
        <v>6175.09</v>
      </c>
      <c r="O691" s="78">
        <v>1383220.3</v>
      </c>
      <c r="P691" s="72">
        <v>1207850</v>
      </c>
      <c r="Q691" s="256">
        <f t="shared" si="134"/>
        <v>265727</v>
      </c>
      <c r="R691" s="256">
        <f t="shared" si="135"/>
        <v>1473577</v>
      </c>
      <c r="S691" s="296"/>
      <c r="T691" s="3">
        <v>33</v>
      </c>
      <c r="U691" s="294"/>
    </row>
    <row r="692" spans="1:21" ht="30" customHeight="1" x14ac:dyDescent="0.35">
      <c r="A692" s="218" t="s">
        <v>4174</v>
      </c>
      <c r="B692" s="3">
        <v>656</v>
      </c>
      <c r="C692" s="44">
        <v>10125703</v>
      </c>
      <c r="D692" s="18" t="s">
        <v>4160</v>
      </c>
      <c r="E692" s="18" t="s">
        <v>2027</v>
      </c>
      <c r="F692" s="12">
        <v>4</v>
      </c>
      <c r="G692" s="3" t="s">
        <v>0</v>
      </c>
      <c r="H692" s="39">
        <v>40840</v>
      </c>
      <c r="I692" s="27" t="s">
        <v>984</v>
      </c>
      <c r="J692" s="4" t="s">
        <v>1962</v>
      </c>
      <c r="K692" s="4" t="s">
        <v>988</v>
      </c>
      <c r="L692" s="29" t="s">
        <v>977</v>
      </c>
      <c r="M692" s="78">
        <v>99100</v>
      </c>
      <c r="N692" s="78">
        <f>O692/F692</f>
        <v>24775</v>
      </c>
      <c r="O692" s="78">
        <v>99100</v>
      </c>
      <c r="P692" s="72">
        <v>87160</v>
      </c>
      <c r="Q692" s="256">
        <f t="shared" si="134"/>
        <v>19175.2</v>
      </c>
      <c r="R692" s="256">
        <f t="shared" si="135"/>
        <v>106335.2</v>
      </c>
      <c r="S692" s="297"/>
      <c r="T692" s="3">
        <v>33</v>
      </c>
      <c r="U692" s="294"/>
    </row>
    <row r="693" spans="1:21" ht="15" customHeight="1" x14ac:dyDescent="0.35">
      <c r="A693" s="218"/>
      <c r="B693" s="94"/>
      <c r="C693" s="65"/>
      <c r="D693" s="8"/>
      <c r="E693" s="19"/>
      <c r="F693" s="92"/>
      <c r="G693" s="3"/>
      <c r="H693" s="40"/>
      <c r="I693" s="27"/>
      <c r="J693" s="4"/>
      <c r="K693" s="4"/>
      <c r="L693" s="29"/>
      <c r="M693" s="78"/>
      <c r="N693" s="78"/>
      <c r="O693" s="108">
        <f>SUM(O559:O692)</f>
        <v>10611637.289999999</v>
      </c>
      <c r="P693" s="276">
        <f t="shared" ref="P693:Q693" si="139">SUM(P559:P692)</f>
        <v>9412510</v>
      </c>
      <c r="Q693" s="282">
        <f t="shared" si="139"/>
        <v>2070752.2</v>
      </c>
      <c r="R693" s="282">
        <f>SUM(R559:R692)</f>
        <v>11483262.199999999</v>
      </c>
      <c r="S693" s="286">
        <f>R693/100*10</f>
        <v>1148326.22</v>
      </c>
      <c r="T693" s="104">
        <v>33</v>
      </c>
      <c r="U693" s="295"/>
    </row>
    <row r="694" spans="1:21" ht="22.5" customHeight="1" x14ac:dyDescent="0.35">
      <c r="A694" s="218" t="s">
        <v>2962</v>
      </c>
      <c r="B694" s="3">
        <v>657</v>
      </c>
      <c r="C694" s="44">
        <v>102002005</v>
      </c>
      <c r="D694" s="18" t="s">
        <v>420</v>
      </c>
      <c r="E694" s="18" t="s">
        <v>2237</v>
      </c>
      <c r="F694" s="12">
        <v>1</v>
      </c>
      <c r="G694" s="3" t="s">
        <v>0</v>
      </c>
      <c r="H694" s="5">
        <v>42217</v>
      </c>
      <c r="I694" s="5" t="s">
        <v>989</v>
      </c>
      <c r="J694" s="4" t="s">
        <v>1962</v>
      </c>
      <c r="K694" s="5" t="s">
        <v>988</v>
      </c>
      <c r="L694" s="29" t="s">
        <v>2143</v>
      </c>
      <c r="M694" s="78">
        <f t="shared" si="129"/>
        <v>10455.99</v>
      </c>
      <c r="N694" s="78">
        <f t="shared" ref="N694:N703" si="140">O694/F694</f>
        <v>10455.99</v>
      </c>
      <c r="O694" s="78">
        <v>10455.99</v>
      </c>
      <c r="P694" s="72">
        <v>4880</v>
      </c>
      <c r="Q694" s="256">
        <f t="shared" ref="Q694:Q725" si="141">R694-P694</f>
        <v>1073.5999999999999</v>
      </c>
      <c r="R694" s="256">
        <f t="shared" ref="R694:R725" si="142">P694*1.22</f>
        <v>5953.6</v>
      </c>
      <c r="S694" s="289"/>
      <c r="T694" s="3">
        <v>34</v>
      </c>
      <c r="U694" s="305" t="s">
        <v>2322</v>
      </c>
    </row>
    <row r="695" spans="1:21" ht="30" customHeight="1" x14ac:dyDescent="0.35">
      <c r="A695" s="218" t="s">
        <v>2963</v>
      </c>
      <c r="B695" s="3">
        <v>658</v>
      </c>
      <c r="C695" s="44">
        <v>102002008</v>
      </c>
      <c r="D695" s="18" t="s">
        <v>421</v>
      </c>
      <c r="E695" s="18" t="s">
        <v>2237</v>
      </c>
      <c r="F695" s="12">
        <v>1</v>
      </c>
      <c r="G695" s="3" t="s">
        <v>0</v>
      </c>
      <c r="H695" s="5">
        <v>42824</v>
      </c>
      <c r="I695" s="5" t="s">
        <v>989</v>
      </c>
      <c r="J695" s="4" t="s">
        <v>1962</v>
      </c>
      <c r="K695" s="5" t="s">
        <v>988</v>
      </c>
      <c r="L695" s="29" t="s">
        <v>2143</v>
      </c>
      <c r="M695" s="78">
        <f t="shared" si="129"/>
        <v>9830.57</v>
      </c>
      <c r="N695" s="78">
        <f t="shared" si="140"/>
        <v>9830.57</v>
      </c>
      <c r="O695" s="78">
        <v>9830.57</v>
      </c>
      <c r="P695" s="72">
        <v>4240</v>
      </c>
      <c r="Q695" s="256">
        <f t="shared" si="141"/>
        <v>932.8</v>
      </c>
      <c r="R695" s="256">
        <f t="shared" si="142"/>
        <v>5172.8</v>
      </c>
      <c r="S695" s="296"/>
      <c r="T695" s="3">
        <v>34</v>
      </c>
      <c r="U695" s="305"/>
    </row>
    <row r="696" spans="1:21" ht="30" customHeight="1" x14ac:dyDescent="0.35">
      <c r="A696" s="218" t="s">
        <v>2968</v>
      </c>
      <c r="B696" s="3">
        <v>659</v>
      </c>
      <c r="C696" s="44">
        <v>102002293</v>
      </c>
      <c r="D696" s="18" t="s">
        <v>428</v>
      </c>
      <c r="E696" s="18" t="s">
        <v>2237</v>
      </c>
      <c r="F696" s="12">
        <v>1</v>
      </c>
      <c r="G696" s="3" t="s">
        <v>0</v>
      </c>
      <c r="H696" s="49">
        <v>2010</v>
      </c>
      <c r="I696" s="5" t="s">
        <v>989</v>
      </c>
      <c r="J696" s="4" t="s">
        <v>1962</v>
      </c>
      <c r="K696" s="5" t="s">
        <v>988</v>
      </c>
      <c r="L696" s="29" t="s">
        <v>2143</v>
      </c>
      <c r="M696" s="78">
        <f t="shared" si="129"/>
        <v>5042.6899999999996</v>
      </c>
      <c r="N696" s="78">
        <f t="shared" si="140"/>
        <v>5042.6899999999996</v>
      </c>
      <c r="O696" s="78">
        <v>5042.6899999999996</v>
      </c>
      <c r="P696" s="72">
        <v>2820</v>
      </c>
      <c r="Q696" s="256">
        <f t="shared" si="141"/>
        <v>620.4</v>
      </c>
      <c r="R696" s="256">
        <f t="shared" si="142"/>
        <v>3440.4</v>
      </c>
      <c r="S696" s="296"/>
      <c r="T696" s="3">
        <v>34</v>
      </c>
      <c r="U696" s="305"/>
    </row>
    <row r="697" spans="1:21" ht="45" customHeight="1" x14ac:dyDescent="0.35">
      <c r="A697" s="218" t="s">
        <v>2969</v>
      </c>
      <c r="B697" s="3">
        <v>660</v>
      </c>
      <c r="C697" s="44">
        <v>102002301</v>
      </c>
      <c r="D697" s="18" t="s">
        <v>430</v>
      </c>
      <c r="E697" s="18" t="s">
        <v>2237</v>
      </c>
      <c r="F697" s="12">
        <v>1</v>
      </c>
      <c r="G697" s="3" t="s">
        <v>0</v>
      </c>
      <c r="H697" s="5">
        <v>42004</v>
      </c>
      <c r="I697" s="5" t="s">
        <v>989</v>
      </c>
      <c r="J697" s="4" t="s">
        <v>1962</v>
      </c>
      <c r="K697" s="5" t="s">
        <v>988</v>
      </c>
      <c r="L697" s="29" t="s">
        <v>2143</v>
      </c>
      <c r="M697" s="78">
        <f t="shared" si="129"/>
        <v>7544.32</v>
      </c>
      <c r="N697" s="78">
        <f t="shared" si="140"/>
        <v>7544.32</v>
      </c>
      <c r="O697" s="78">
        <v>7544.32</v>
      </c>
      <c r="P697" s="72">
        <v>3760</v>
      </c>
      <c r="Q697" s="256">
        <f t="shared" si="141"/>
        <v>827.2</v>
      </c>
      <c r="R697" s="256">
        <f t="shared" si="142"/>
        <v>4587.2</v>
      </c>
      <c r="S697" s="296"/>
      <c r="T697" s="3">
        <v>34</v>
      </c>
      <c r="U697" s="305"/>
    </row>
    <row r="698" spans="1:21" ht="30" customHeight="1" x14ac:dyDescent="0.35">
      <c r="A698" s="218" t="s">
        <v>2970</v>
      </c>
      <c r="B698" s="3">
        <v>661</v>
      </c>
      <c r="C698" s="44">
        <v>102002304</v>
      </c>
      <c r="D698" s="18" t="s">
        <v>431</v>
      </c>
      <c r="E698" s="18" t="s">
        <v>2237</v>
      </c>
      <c r="F698" s="12">
        <v>1</v>
      </c>
      <c r="G698" s="3" t="s">
        <v>0</v>
      </c>
      <c r="H698" s="49">
        <v>2010</v>
      </c>
      <c r="I698" s="5" t="s">
        <v>989</v>
      </c>
      <c r="J698" s="4" t="s">
        <v>1962</v>
      </c>
      <c r="K698" s="5" t="s">
        <v>988</v>
      </c>
      <c r="L698" s="29" t="s">
        <v>2143</v>
      </c>
      <c r="M698" s="78">
        <f t="shared" si="129"/>
        <v>11235.84</v>
      </c>
      <c r="N698" s="78">
        <f t="shared" si="140"/>
        <v>11235.84</v>
      </c>
      <c r="O698" s="78">
        <v>11235.84</v>
      </c>
      <c r="P698" s="72">
        <v>6280</v>
      </c>
      <c r="Q698" s="256">
        <f t="shared" si="141"/>
        <v>1381.6</v>
      </c>
      <c r="R698" s="256">
        <f t="shared" si="142"/>
        <v>7661.6</v>
      </c>
      <c r="S698" s="296"/>
      <c r="T698" s="3">
        <v>34</v>
      </c>
      <c r="U698" s="305"/>
    </row>
    <row r="699" spans="1:21" ht="30" customHeight="1" x14ac:dyDescent="0.35">
      <c r="A699" s="218" t="s">
        <v>2978</v>
      </c>
      <c r="B699" s="3">
        <v>662</v>
      </c>
      <c r="C699" s="44">
        <v>102002007</v>
      </c>
      <c r="D699" s="18" t="s">
        <v>450</v>
      </c>
      <c r="E699" s="18" t="s">
        <v>2237</v>
      </c>
      <c r="F699" s="12">
        <v>2</v>
      </c>
      <c r="G699" s="3" t="s">
        <v>0</v>
      </c>
      <c r="H699" s="5">
        <v>41974</v>
      </c>
      <c r="I699" s="5" t="s">
        <v>989</v>
      </c>
      <c r="J699" s="4" t="s">
        <v>1962</v>
      </c>
      <c r="K699" s="5" t="s">
        <v>988</v>
      </c>
      <c r="L699" s="29" t="s">
        <v>2143</v>
      </c>
      <c r="M699" s="78">
        <f t="shared" ref="M699:M740" si="143">O699</f>
        <v>16508.25</v>
      </c>
      <c r="N699" s="78">
        <f t="shared" si="140"/>
        <v>8254.1299999999992</v>
      </c>
      <c r="O699" s="78">
        <v>16508.25</v>
      </c>
      <c r="P699" s="72">
        <v>8220</v>
      </c>
      <c r="Q699" s="256">
        <f t="shared" si="141"/>
        <v>1808.4</v>
      </c>
      <c r="R699" s="256">
        <f t="shared" si="142"/>
        <v>10028.4</v>
      </c>
      <c r="S699" s="296"/>
      <c r="T699" s="3">
        <v>34</v>
      </c>
      <c r="U699" s="305"/>
    </row>
    <row r="700" spans="1:21" ht="30" customHeight="1" x14ac:dyDescent="0.35">
      <c r="A700" s="218" t="s">
        <v>2979</v>
      </c>
      <c r="B700" s="3">
        <v>663</v>
      </c>
      <c r="C700" s="44">
        <v>102002295</v>
      </c>
      <c r="D700" s="18" t="s">
        <v>453</v>
      </c>
      <c r="E700" s="18" t="s">
        <v>2237</v>
      </c>
      <c r="F700" s="12">
        <v>2</v>
      </c>
      <c r="G700" s="3" t="s">
        <v>0</v>
      </c>
      <c r="H700" s="49" t="s">
        <v>2195</v>
      </c>
      <c r="I700" s="5" t="s">
        <v>989</v>
      </c>
      <c r="J700" s="4" t="s">
        <v>1962</v>
      </c>
      <c r="K700" s="5" t="s">
        <v>988</v>
      </c>
      <c r="L700" s="29" t="s">
        <v>2143</v>
      </c>
      <c r="M700" s="78">
        <f t="shared" si="143"/>
        <v>8440.74</v>
      </c>
      <c r="N700" s="78">
        <f t="shared" si="140"/>
        <v>4220.37</v>
      </c>
      <c r="O700" s="78">
        <v>8440.74</v>
      </c>
      <c r="P700" s="72">
        <v>4710</v>
      </c>
      <c r="Q700" s="256">
        <f t="shared" si="141"/>
        <v>1036.2</v>
      </c>
      <c r="R700" s="256">
        <f t="shared" si="142"/>
        <v>5746.2</v>
      </c>
      <c r="S700" s="296"/>
      <c r="T700" s="3">
        <v>34</v>
      </c>
      <c r="U700" s="305"/>
    </row>
    <row r="701" spans="1:21" ht="30" customHeight="1" x14ac:dyDescent="0.35">
      <c r="A701" s="218" t="s">
        <v>2982</v>
      </c>
      <c r="B701" s="3">
        <v>664</v>
      </c>
      <c r="C701" s="44">
        <v>102002333</v>
      </c>
      <c r="D701" s="18" t="s">
        <v>458</v>
      </c>
      <c r="E701" s="18" t="s">
        <v>2237</v>
      </c>
      <c r="F701" s="12">
        <v>2</v>
      </c>
      <c r="G701" s="3" t="s">
        <v>0</v>
      </c>
      <c r="H701" s="49" t="s">
        <v>2195</v>
      </c>
      <c r="I701" s="5" t="s">
        <v>989</v>
      </c>
      <c r="J701" s="4" t="s">
        <v>1962</v>
      </c>
      <c r="K701" s="5" t="s">
        <v>988</v>
      </c>
      <c r="L701" s="29" t="s">
        <v>2143</v>
      </c>
      <c r="M701" s="78">
        <f t="shared" si="143"/>
        <v>24157.51</v>
      </c>
      <c r="N701" s="78">
        <f t="shared" si="140"/>
        <v>12078.76</v>
      </c>
      <c r="O701" s="78">
        <v>24157.51</v>
      </c>
      <c r="P701" s="72">
        <v>13490</v>
      </c>
      <c r="Q701" s="256">
        <f t="shared" si="141"/>
        <v>2967.8</v>
      </c>
      <c r="R701" s="256">
        <f t="shared" si="142"/>
        <v>16457.8</v>
      </c>
      <c r="S701" s="296"/>
      <c r="T701" s="3">
        <v>34</v>
      </c>
      <c r="U701" s="305"/>
    </row>
    <row r="702" spans="1:21" ht="30" customHeight="1" x14ac:dyDescent="0.35">
      <c r="A702" s="218" t="s">
        <v>2986</v>
      </c>
      <c r="B702" s="3">
        <v>665</v>
      </c>
      <c r="C702" s="44">
        <v>102002297</v>
      </c>
      <c r="D702" s="18" t="s">
        <v>465</v>
      </c>
      <c r="E702" s="18" t="s">
        <v>2237</v>
      </c>
      <c r="F702" s="12">
        <v>3</v>
      </c>
      <c r="G702" s="3" t="s">
        <v>0</v>
      </c>
      <c r="H702" s="5">
        <v>42824</v>
      </c>
      <c r="I702" s="5" t="s">
        <v>989</v>
      </c>
      <c r="J702" s="4" t="s">
        <v>1962</v>
      </c>
      <c r="K702" s="5" t="s">
        <v>988</v>
      </c>
      <c r="L702" s="29" t="s">
        <v>2143</v>
      </c>
      <c r="M702" s="78">
        <f t="shared" si="143"/>
        <v>32623.7</v>
      </c>
      <c r="N702" s="78">
        <f t="shared" si="140"/>
        <v>10874.57</v>
      </c>
      <c r="O702" s="78">
        <v>32623.7</v>
      </c>
      <c r="P702" s="72">
        <v>14080</v>
      </c>
      <c r="Q702" s="256">
        <f t="shared" si="141"/>
        <v>3097.6</v>
      </c>
      <c r="R702" s="256">
        <f t="shared" si="142"/>
        <v>17177.599999999999</v>
      </c>
      <c r="S702" s="296"/>
      <c r="T702" s="3">
        <v>34</v>
      </c>
      <c r="U702" s="305"/>
    </row>
    <row r="703" spans="1:21" ht="36" customHeight="1" x14ac:dyDescent="0.35">
      <c r="A703" s="218" t="s">
        <v>2991</v>
      </c>
      <c r="B703" s="3">
        <v>666</v>
      </c>
      <c r="C703" s="44">
        <v>102002010</v>
      </c>
      <c r="D703" s="18" t="s">
        <v>476</v>
      </c>
      <c r="E703" s="18" t="s">
        <v>2237</v>
      </c>
      <c r="F703" s="12">
        <v>5</v>
      </c>
      <c r="G703" s="3" t="s">
        <v>0</v>
      </c>
      <c r="H703" s="5">
        <v>42824</v>
      </c>
      <c r="I703" s="5" t="s">
        <v>989</v>
      </c>
      <c r="J703" s="4" t="s">
        <v>1962</v>
      </c>
      <c r="K703" s="5" t="s">
        <v>988</v>
      </c>
      <c r="L703" s="29" t="s">
        <v>2143</v>
      </c>
      <c r="M703" s="78">
        <f t="shared" si="143"/>
        <v>33416.629999999997</v>
      </c>
      <c r="N703" s="78">
        <f t="shared" si="140"/>
        <v>6683.33</v>
      </c>
      <c r="O703" s="78">
        <v>33416.629999999997</v>
      </c>
      <c r="P703" s="72">
        <v>14420</v>
      </c>
      <c r="Q703" s="256">
        <f t="shared" si="141"/>
        <v>3172.4</v>
      </c>
      <c r="R703" s="256">
        <f t="shared" si="142"/>
        <v>17592.400000000001</v>
      </c>
      <c r="S703" s="296"/>
      <c r="T703" s="3">
        <v>34</v>
      </c>
      <c r="U703" s="305"/>
    </row>
    <row r="704" spans="1:21" ht="39" customHeight="1" x14ac:dyDescent="0.35">
      <c r="A704" s="218" t="s">
        <v>2996</v>
      </c>
      <c r="B704" s="3">
        <v>667</v>
      </c>
      <c r="C704" s="44">
        <v>102002299</v>
      </c>
      <c r="D704" s="18" t="s">
        <v>488</v>
      </c>
      <c r="E704" s="18" t="s">
        <v>2237</v>
      </c>
      <c r="F704" s="12">
        <v>7</v>
      </c>
      <c r="G704" s="3" t="s">
        <v>0</v>
      </c>
      <c r="H704" s="49" t="s">
        <v>517</v>
      </c>
      <c r="I704" s="5" t="s">
        <v>989</v>
      </c>
      <c r="J704" s="4" t="s">
        <v>1962</v>
      </c>
      <c r="K704" s="5" t="s">
        <v>988</v>
      </c>
      <c r="L704" s="29" t="s">
        <v>2143</v>
      </c>
      <c r="M704" s="78">
        <f t="shared" si="143"/>
        <v>36697.81</v>
      </c>
      <c r="N704" s="78">
        <f t="shared" ref="N704:N730" si="144">O704/F704</f>
        <v>5242.54</v>
      </c>
      <c r="O704" s="78">
        <v>36697.81</v>
      </c>
      <c r="P704" s="72">
        <v>18270</v>
      </c>
      <c r="Q704" s="256">
        <f t="shared" si="141"/>
        <v>4019.4</v>
      </c>
      <c r="R704" s="256">
        <f t="shared" si="142"/>
        <v>22289.4</v>
      </c>
      <c r="S704" s="296"/>
      <c r="T704" s="3">
        <v>34</v>
      </c>
      <c r="U704" s="305"/>
    </row>
    <row r="705" spans="1:21" ht="32.25" customHeight="1" x14ac:dyDescent="0.35">
      <c r="A705" s="218" t="s">
        <v>2997</v>
      </c>
      <c r="B705" s="3">
        <v>668</v>
      </c>
      <c r="C705" s="44">
        <v>102002317</v>
      </c>
      <c r="D705" s="18" t="s">
        <v>492</v>
      </c>
      <c r="E705" s="18" t="s">
        <v>2237</v>
      </c>
      <c r="F705" s="12">
        <v>9</v>
      </c>
      <c r="G705" s="3" t="s">
        <v>0</v>
      </c>
      <c r="H705" s="5">
        <v>42734</v>
      </c>
      <c r="I705" s="5" t="s">
        <v>989</v>
      </c>
      <c r="J705" s="4" t="s">
        <v>1962</v>
      </c>
      <c r="K705" s="5" t="s">
        <v>988</v>
      </c>
      <c r="L705" s="29" t="s">
        <v>2143</v>
      </c>
      <c r="M705" s="78">
        <f t="shared" si="143"/>
        <v>65626.06</v>
      </c>
      <c r="N705" s="78">
        <f t="shared" si="144"/>
        <v>7291.78</v>
      </c>
      <c r="O705" s="78">
        <v>65626.06</v>
      </c>
      <c r="P705" s="72">
        <v>28740</v>
      </c>
      <c r="Q705" s="256">
        <f t="shared" si="141"/>
        <v>6322.8</v>
      </c>
      <c r="R705" s="256">
        <f t="shared" si="142"/>
        <v>35062.800000000003</v>
      </c>
      <c r="S705" s="296"/>
      <c r="T705" s="3">
        <v>34</v>
      </c>
      <c r="U705" s="305"/>
    </row>
    <row r="706" spans="1:21" ht="56.25" customHeight="1" x14ac:dyDescent="0.35">
      <c r="A706" s="218" t="s">
        <v>2998</v>
      </c>
      <c r="B706" s="3">
        <v>669</v>
      </c>
      <c r="C706" s="44">
        <v>102002324</v>
      </c>
      <c r="D706" s="18" t="s">
        <v>501</v>
      </c>
      <c r="E706" s="18" t="s">
        <v>2237</v>
      </c>
      <c r="F706" s="12">
        <v>21</v>
      </c>
      <c r="G706" s="3" t="s">
        <v>0</v>
      </c>
      <c r="H706" s="5">
        <v>42734</v>
      </c>
      <c r="I706" s="5" t="s">
        <v>989</v>
      </c>
      <c r="J706" s="4" t="s">
        <v>1962</v>
      </c>
      <c r="K706" s="5" t="s">
        <v>988</v>
      </c>
      <c r="L706" s="29" t="s">
        <v>2143</v>
      </c>
      <c r="M706" s="78">
        <f t="shared" si="143"/>
        <v>188984.52</v>
      </c>
      <c r="N706" s="78">
        <f t="shared" si="144"/>
        <v>8999.26</v>
      </c>
      <c r="O706" s="78">
        <v>188984.52</v>
      </c>
      <c r="P706" s="72">
        <v>82750</v>
      </c>
      <c r="Q706" s="256">
        <f t="shared" si="141"/>
        <v>18205</v>
      </c>
      <c r="R706" s="256">
        <f t="shared" si="142"/>
        <v>100955</v>
      </c>
      <c r="S706" s="296"/>
      <c r="T706" s="3">
        <v>34</v>
      </c>
      <c r="U706" s="305"/>
    </row>
    <row r="707" spans="1:21" ht="51.75" customHeight="1" x14ac:dyDescent="0.35">
      <c r="A707" s="218" t="s">
        <v>2999</v>
      </c>
      <c r="B707" s="3">
        <v>670</v>
      </c>
      <c r="C707" s="44">
        <v>102002311</v>
      </c>
      <c r="D707" s="18" t="s">
        <v>502</v>
      </c>
      <c r="E707" s="18" t="s">
        <v>2237</v>
      </c>
      <c r="F707" s="12">
        <v>22</v>
      </c>
      <c r="G707" s="3" t="s">
        <v>0</v>
      </c>
      <c r="H707" s="5">
        <v>42734</v>
      </c>
      <c r="I707" s="5" t="s">
        <v>989</v>
      </c>
      <c r="J707" s="4" t="s">
        <v>1962</v>
      </c>
      <c r="K707" s="5" t="s">
        <v>988</v>
      </c>
      <c r="L707" s="29" t="s">
        <v>2143</v>
      </c>
      <c r="M707" s="78">
        <f t="shared" si="143"/>
        <v>92711.96</v>
      </c>
      <c r="N707" s="78">
        <f t="shared" si="144"/>
        <v>4214.18</v>
      </c>
      <c r="O707" s="78">
        <v>92711.96</v>
      </c>
      <c r="P707" s="72">
        <v>40600</v>
      </c>
      <c r="Q707" s="256">
        <f t="shared" si="141"/>
        <v>8932</v>
      </c>
      <c r="R707" s="256">
        <f t="shared" si="142"/>
        <v>49532</v>
      </c>
      <c r="S707" s="296"/>
      <c r="T707" s="3">
        <v>34</v>
      </c>
      <c r="U707" s="305"/>
    </row>
    <row r="708" spans="1:21" ht="44.25" customHeight="1" x14ac:dyDescent="0.35">
      <c r="A708" s="218" t="s">
        <v>3000</v>
      </c>
      <c r="B708" s="3">
        <v>671</v>
      </c>
      <c r="C708" s="44">
        <v>102002331</v>
      </c>
      <c r="D708" s="18" t="s">
        <v>504</v>
      </c>
      <c r="E708" s="18" t="s">
        <v>2237</v>
      </c>
      <c r="F708" s="12">
        <v>24</v>
      </c>
      <c r="G708" s="3" t="s">
        <v>0</v>
      </c>
      <c r="H708" s="49" t="s">
        <v>2195</v>
      </c>
      <c r="I708" s="5" t="s">
        <v>989</v>
      </c>
      <c r="J708" s="4" t="s">
        <v>1962</v>
      </c>
      <c r="K708" s="5" t="s">
        <v>988</v>
      </c>
      <c r="L708" s="29" t="s">
        <v>2143</v>
      </c>
      <c r="M708" s="78">
        <f t="shared" si="143"/>
        <v>366893.27</v>
      </c>
      <c r="N708" s="78">
        <f t="shared" si="144"/>
        <v>15287.22</v>
      </c>
      <c r="O708" s="78">
        <v>366893.27</v>
      </c>
      <c r="P708" s="72">
        <v>204930</v>
      </c>
      <c r="Q708" s="256">
        <f t="shared" si="141"/>
        <v>45084.6</v>
      </c>
      <c r="R708" s="256">
        <f t="shared" si="142"/>
        <v>250014.6</v>
      </c>
      <c r="S708" s="296"/>
      <c r="T708" s="3">
        <v>34</v>
      </c>
      <c r="U708" s="305"/>
    </row>
    <row r="709" spans="1:21" ht="40.5" customHeight="1" x14ac:dyDescent="0.35">
      <c r="A709" s="218" t="s">
        <v>3002</v>
      </c>
      <c r="B709" s="3">
        <v>672</v>
      </c>
      <c r="C709" s="44">
        <v>10145283</v>
      </c>
      <c r="D709" s="18" t="s">
        <v>230</v>
      </c>
      <c r="E709" s="18" t="s">
        <v>711</v>
      </c>
      <c r="F709" s="12">
        <v>1</v>
      </c>
      <c r="G709" s="3" t="s">
        <v>0</v>
      </c>
      <c r="H709" s="49" t="s">
        <v>2195</v>
      </c>
      <c r="I709" s="30" t="s">
        <v>1003</v>
      </c>
      <c r="J709" s="4" t="s">
        <v>1962</v>
      </c>
      <c r="K709" s="6" t="s">
        <v>988</v>
      </c>
      <c r="L709" s="5" t="s">
        <v>871</v>
      </c>
      <c r="M709" s="72">
        <f t="shared" si="143"/>
        <v>41750</v>
      </c>
      <c r="N709" s="72">
        <f t="shared" si="144"/>
        <v>41750</v>
      </c>
      <c r="O709" s="72">
        <v>41750</v>
      </c>
      <c r="P709" s="72">
        <v>23320</v>
      </c>
      <c r="Q709" s="256">
        <f t="shared" si="141"/>
        <v>5130.3999999999996</v>
      </c>
      <c r="R709" s="256">
        <f t="shared" si="142"/>
        <v>28450.400000000001</v>
      </c>
      <c r="S709" s="296"/>
      <c r="T709" s="3">
        <v>34</v>
      </c>
      <c r="U709" s="305"/>
    </row>
    <row r="710" spans="1:21" ht="30" customHeight="1" x14ac:dyDescent="0.35">
      <c r="A710" s="218" t="s">
        <v>3003</v>
      </c>
      <c r="B710" s="3">
        <v>673</v>
      </c>
      <c r="C710" s="44">
        <v>10145214</v>
      </c>
      <c r="D710" s="18" t="s">
        <v>278</v>
      </c>
      <c r="E710" s="18" t="s">
        <v>711</v>
      </c>
      <c r="F710" s="12">
        <v>1</v>
      </c>
      <c r="G710" s="3" t="s">
        <v>0</v>
      </c>
      <c r="H710" s="49" t="s">
        <v>2195</v>
      </c>
      <c r="I710" s="30" t="s">
        <v>1003</v>
      </c>
      <c r="J710" s="4" t="s">
        <v>1962</v>
      </c>
      <c r="K710" s="6" t="s">
        <v>988</v>
      </c>
      <c r="L710" s="5" t="s">
        <v>871</v>
      </c>
      <c r="M710" s="72">
        <f t="shared" si="143"/>
        <v>22300</v>
      </c>
      <c r="N710" s="72">
        <f t="shared" si="144"/>
        <v>22300</v>
      </c>
      <c r="O710" s="72">
        <v>22300</v>
      </c>
      <c r="P710" s="72">
        <v>12460</v>
      </c>
      <c r="Q710" s="256">
        <f t="shared" si="141"/>
        <v>2741.2</v>
      </c>
      <c r="R710" s="256">
        <f t="shared" si="142"/>
        <v>15201.2</v>
      </c>
      <c r="S710" s="296"/>
      <c r="T710" s="3">
        <v>34</v>
      </c>
      <c r="U710" s="305"/>
    </row>
    <row r="711" spans="1:21" ht="27.75" customHeight="1" x14ac:dyDescent="0.35">
      <c r="A711" s="218" t="s">
        <v>3004</v>
      </c>
      <c r="B711" s="3">
        <v>674</v>
      </c>
      <c r="C711" s="44">
        <v>10145236</v>
      </c>
      <c r="D711" s="18" t="s">
        <v>279</v>
      </c>
      <c r="E711" s="18" t="s">
        <v>711</v>
      </c>
      <c r="F711" s="12">
        <v>1</v>
      </c>
      <c r="G711" s="3" t="s">
        <v>0</v>
      </c>
      <c r="H711" s="49" t="s">
        <v>2195</v>
      </c>
      <c r="I711" s="30" t="s">
        <v>1003</v>
      </c>
      <c r="J711" s="4" t="s">
        <v>1962</v>
      </c>
      <c r="K711" s="6" t="s">
        <v>988</v>
      </c>
      <c r="L711" s="5" t="s">
        <v>871</v>
      </c>
      <c r="M711" s="72">
        <f t="shared" si="143"/>
        <v>76100</v>
      </c>
      <c r="N711" s="72">
        <f t="shared" si="144"/>
        <v>76100</v>
      </c>
      <c r="O711" s="72">
        <v>76100</v>
      </c>
      <c r="P711" s="72">
        <v>42510</v>
      </c>
      <c r="Q711" s="256">
        <f t="shared" si="141"/>
        <v>9352.2000000000007</v>
      </c>
      <c r="R711" s="256">
        <f t="shared" si="142"/>
        <v>51862.2</v>
      </c>
      <c r="S711" s="296"/>
      <c r="T711" s="3">
        <v>34</v>
      </c>
      <c r="U711" s="305"/>
    </row>
    <row r="712" spans="1:21" ht="42" customHeight="1" x14ac:dyDescent="0.35">
      <c r="A712" s="218" t="s">
        <v>3005</v>
      </c>
      <c r="B712" s="3">
        <v>675</v>
      </c>
      <c r="C712" s="44">
        <v>10145246</v>
      </c>
      <c r="D712" s="18" t="s">
        <v>280</v>
      </c>
      <c r="E712" s="18" t="s">
        <v>711</v>
      </c>
      <c r="F712" s="12">
        <v>1</v>
      </c>
      <c r="G712" s="3" t="s">
        <v>0</v>
      </c>
      <c r="H712" s="49" t="s">
        <v>2195</v>
      </c>
      <c r="I712" s="30" t="s">
        <v>1003</v>
      </c>
      <c r="J712" s="4" t="s">
        <v>1962</v>
      </c>
      <c r="K712" s="6" t="s">
        <v>988</v>
      </c>
      <c r="L712" s="5" t="s">
        <v>871</v>
      </c>
      <c r="M712" s="72">
        <f t="shared" si="143"/>
        <v>28500</v>
      </c>
      <c r="N712" s="72">
        <f t="shared" si="144"/>
        <v>28500</v>
      </c>
      <c r="O712" s="72">
        <v>28500</v>
      </c>
      <c r="P712" s="72">
        <v>15920</v>
      </c>
      <c r="Q712" s="256">
        <f t="shared" si="141"/>
        <v>3502.4</v>
      </c>
      <c r="R712" s="256">
        <f t="shared" si="142"/>
        <v>19422.400000000001</v>
      </c>
      <c r="S712" s="296"/>
      <c r="T712" s="3">
        <v>34</v>
      </c>
      <c r="U712" s="305"/>
    </row>
    <row r="713" spans="1:21" ht="33.75" customHeight="1" x14ac:dyDescent="0.35">
      <c r="A713" s="218" t="s">
        <v>3006</v>
      </c>
      <c r="B713" s="3">
        <v>676</v>
      </c>
      <c r="C713" s="44">
        <v>10145247</v>
      </c>
      <c r="D713" s="18" t="s">
        <v>281</v>
      </c>
      <c r="E713" s="18" t="s">
        <v>711</v>
      </c>
      <c r="F713" s="12">
        <v>1</v>
      </c>
      <c r="G713" s="3" t="s">
        <v>0</v>
      </c>
      <c r="H713" s="49" t="s">
        <v>2195</v>
      </c>
      <c r="I713" s="30" t="s">
        <v>1003</v>
      </c>
      <c r="J713" s="4" t="s">
        <v>1962</v>
      </c>
      <c r="K713" s="6" t="s">
        <v>988</v>
      </c>
      <c r="L713" s="5" t="s">
        <v>871</v>
      </c>
      <c r="M713" s="72">
        <f t="shared" si="143"/>
        <v>38400</v>
      </c>
      <c r="N713" s="72">
        <f t="shared" si="144"/>
        <v>38400</v>
      </c>
      <c r="O713" s="72">
        <v>38400</v>
      </c>
      <c r="P713" s="72">
        <v>21450</v>
      </c>
      <c r="Q713" s="256">
        <f t="shared" si="141"/>
        <v>4719</v>
      </c>
      <c r="R713" s="256">
        <f t="shared" si="142"/>
        <v>26169</v>
      </c>
      <c r="S713" s="296"/>
      <c r="T713" s="3">
        <v>34</v>
      </c>
      <c r="U713" s="305"/>
    </row>
    <row r="714" spans="1:21" ht="40.5" customHeight="1" x14ac:dyDescent="0.35">
      <c r="A714" s="218" t="s">
        <v>3007</v>
      </c>
      <c r="B714" s="3">
        <v>677</v>
      </c>
      <c r="C714" s="44">
        <v>10145253</v>
      </c>
      <c r="D714" s="18" t="s">
        <v>282</v>
      </c>
      <c r="E714" s="18" t="s">
        <v>711</v>
      </c>
      <c r="F714" s="12">
        <v>1</v>
      </c>
      <c r="G714" s="3" t="s">
        <v>0</v>
      </c>
      <c r="H714" s="49" t="s">
        <v>2195</v>
      </c>
      <c r="I714" s="30" t="s">
        <v>1003</v>
      </c>
      <c r="J714" s="4" t="s">
        <v>1962</v>
      </c>
      <c r="K714" s="6" t="s">
        <v>988</v>
      </c>
      <c r="L714" s="5" t="s">
        <v>871</v>
      </c>
      <c r="M714" s="72">
        <f t="shared" si="143"/>
        <v>127764.87</v>
      </c>
      <c r="N714" s="72">
        <f t="shared" si="144"/>
        <v>127764.87</v>
      </c>
      <c r="O714" s="72">
        <v>127764.87</v>
      </c>
      <c r="P714" s="72">
        <v>71360</v>
      </c>
      <c r="Q714" s="256">
        <f t="shared" si="141"/>
        <v>15699.2</v>
      </c>
      <c r="R714" s="256">
        <f t="shared" si="142"/>
        <v>87059.199999999997</v>
      </c>
      <c r="S714" s="296"/>
      <c r="T714" s="3">
        <v>34</v>
      </c>
      <c r="U714" s="305"/>
    </row>
    <row r="715" spans="1:21" ht="45" customHeight="1" x14ac:dyDescent="0.35">
      <c r="A715" s="218" t="s">
        <v>3008</v>
      </c>
      <c r="B715" s="3">
        <v>678</v>
      </c>
      <c r="C715" s="44">
        <v>10145253</v>
      </c>
      <c r="D715" s="18" t="s">
        <v>282</v>
      </c>
      <c r="E715" s="18" t="s">
        <v>711</v>
      </c>
      <c r="F715" s="12">
        <v>1</v>
      </c>
      <c r="G715" s="3" t="s">
        <v>0</v>
      </c>
      <c r="H715" s="49" t="s">
        <v>2195</v>
      </c>
      <c r="I715" s="30" t="s">
        <v>1003</v>
      </c>
      <c r="J715" s="4" t="s">
        <v>1962</v>
      </c>
      <c r="K715" s="6" t="s">
        <v>988</v>
      </c>
      <c r="L715" s="5" t="s">
        <v>871</v>
      </c>
      <c r="M715" s="72">
        <f t="shared" si="143"/>
        <v>44200</v>
      </c>
      <c r="N715" s="72">
        <f t="shared" si="144"/>
        <v>44200</v>
      </c>
      <c r="O715" s="72">
        <v>44200</v>
      </c>
      <c r="P715" s="72">
        <v>24690</v>
      </c>
      <c r="Q715" s="256">
        <f t="shared" si="141"/>
        <v>5431.8</v>
      </c>
      <c r="R715" s="256">
        <f t="shared" si="142"/>
        <v>30121.8</v>
      </c>
      <c r="S715" s="296"/>
      <c r="T715" s="3">
        <v>34</v>
      </c>
      <c r="U715" s="305"/>
    </row>
    <row r="716" spans="1:21" ht="38.25" customHeight="1" x14ac:dyDescent="0.35">
      <c r="A716" s="218" t="s">
        <v>3009</v>
      </c>
      <c r="B716" s="3">
        <v>679</v>
      </c>
      <c r="C716" s="44">
        <v>10145254</v>
      </c>
      <c r="D716" s="18" t="s">
        <v>283</v>
      </c>
      <c r="E716" s="18" t="s">
        <v>711</v>
      </c>
      <c r="F716" s="12">
        <v>1</v>
      </c>
      <c r="G716" s="3" t="s">
        <v>0</v>
      </c>
      <c r="H716" s="49" t="s">
        <v>2195</v>
      </c>
      <c r="I716" s="30" t="s">
        <v>1003</v>
      </c>
      <c r="J716" s="4" t="s">
        <v>1962</v>
      </c>
      <c r="K716" s="6" t="s">
        <v>988</v>
      </c>
      <c r="L716" s="5" t="s">
        <v>871</v>
      </c>
      <c r="M716" s="72">
        <f t="shared" si="143"/>
        <v>54850</v>
      </c>
      <c r="N716" s="72">
        <f t="shared" si="144"/>
        <v>54850</v>
      </c>
      <c r="O716" s="72">
        <v>54850</v>
      </c>
      <c r="P716" s="72">
        <v>30640</v>
      </c>
      <c r="Q716" s="256">
        <f t="shared" si="141"/>
        <v>6740.8</v>
      </c>
      <c r="R716" s="256">
        <f t="shared" si="142"/>
        <v>37380.800000000003</v>
      </c>
      <c r="S716" s="296"/>
      <c r="T716" s="3">
        <v>34</v>
      </c>
      <c r="U716" s="305"/>
    </row>
    <row r="717" spans="1:21" ht="32.25" customHeight="1" x14ac:dyDescent="0.35">
      <c r="A717" s="218" t="s">
        <v>3010</v>
      </c>
      <c r="B717" s="3">
        <v>680</v>
      </c>
      <c r="C717" s="44">
        <v>102001720</v>
      </c>
      <c r="D717" s="18" t="s">
        <v>284</v>
      </c>
      <c r="E717" s="18" t="s">
        <v>711</v>
      </c>
      <c r="F717" s="12">
        <v>1</v>
      </c>
      <c r="G717" s="3" t="s">
        <v>0</v>
      </c>
      <c r="H717" s="49" t="s">
        <v>2195</v>
      </c>
      <c r="I717" s="3" t="s">
        <v>1003</v>
      </c>
      <c r="J717" s="4" t="s">
        <v>1962</v>
      </c>
      <c r="K717" s="6" t="s">
        <v>988</v>
      </c>
      <c r="L717" s="5" t="s">
        <v>871</v>
      </c>
      <c r="M717" s="72">
        <f t="shared" si="143"/>
        <v>466350</v>
      </c>
      <c r="N717" s="72">
        <f t="shared" si="144"/>
        <v>466350</v>
      </c>
      <c r="O717" s="72">
        <v>466350</v>
      </c>
      <c r="P717" s="72">
        <v>260480</v>
      </c>
      <c r="Q717" s="256">
        <f t="shared" si="141"/>
        <v>57305.599999999999</v>
      </c>
      <c r="R717" s="256">
        <f t="shared" si="142"/>
        <v>317785.59999999998</v>
      </c>
      <c r="S717" s="296"/>
      <c r="T717" s="3">
        <v>34</v>
      </c>
      <c r="U717" s="305"/>
    </row>
    <row r="718" spans="1:21" ht="30.75" customHeight="1" x14ac:dyDescent="0.35">
      <c r="A718" s="218" t="s">
        <v>3011</v>
      </c>
      <c r="B718" s="3">
        <v>681</v>
      </c>
      <c r="C718" s="44">
        <v>10145215</v>
      </c>
      <c r="D718" s="18" t="s">
        <v>287</v>
      </c>
      <c r="E718" s="18" t="s">
        <v>711</v>
      </c>
      <c r="F718" s="12">
        <v>2</v>
      </c>
      <c r="G718" s="3" t="s">
        <v>0</v>
      </c>
      <c r="H718" s="5">
        <v>42004</v>
      </c>
      <c r="I718" s="3" t="s">
        <v>1003</v>
      </c>
      <c r="J718" s="4" t="s">
        <v>1962</v>
      </c>
      <c r="K718" s="6" t="s">
        <v>988</v>
      </c>
      <c r="L718" s="5" t="s">
        <v>871</v>
      </c>
      <c r="M718" s="72">
        <f t="shared" si="143"/>
        <v>32800</v>
      </c>
      <c r="N718" s="72">
        <f t="shared" si="144"/>
        <v>16400</v>
      </c>
      <c r="O718" s="72">
        <v>32800</v>
      </c>
      <c r="P718" s="72">
        <v>16330</v>
      </c>
      <c r="Q718" s="256">
        <f t="shared" si="141"/>
        <v>3592.6</v>
      </c>
      <c r="R718" s="256">
        <f t="shared" si="142"/>
        <v>19922.599999999999</v>
      </c>
      <c r="S718" s="296"/>
      <c r="T718" s="3">
        <v>34</v>
      </c>
      <c r="U718" s="305"/>
    </row>
    <row r="719" spans="1:21" ht="26.25" customHeight="1" x14ac:dyDescent="0.35">
      <c r="A719" s="218" t="s">
        <v>3012</v>
      </c>
      <c r="B719" s="3">
        <v>682</v>
      </c>
      <c r="C719" s="44">
        <v>10155883</v>
      </c>
      <c r="D719" s="18" t="s">
        <v>289</v>
      </c>
      <c r="E719" s="18" t="s">
        <v>711</v>
      </c>
      <c r="F719" s="12">
        <v>2</v>
      </c>
      <c r="G719" s="3" t="s">
        <v>0</v>
      </c>
      <c r="H719" s="5">
        <v>42004</v>
      </c>
      <c r="I719" s="3" t="s">
        <v>1003</v>
      </c>
      <c r="J719" s="4" t="s">
        <v>1962</v>
      </c>
      <c r="K719" s="6" t="s">
        <v>988</v>
      </c>
      <c r="L719" s="5" t="s">
        <v>871</v>
      </c>
      <c r="M719" s="72">
        <f t="shared" si="143"/>
        <v>25600</v>
      </c>
      <c r="N719" s="72">
        <f t="shared" si="144"/>
        <v>12800</v>
      </c>
      <c r="O719" s="72">
        <v>25600</v>
      </c>
      <c r="P719" s="72">
        <v>12750</v>
      </c>
      <c r="Q719" s="256">
        <f t="shared" si="141"/>
        <v>2805</v>
      </c>
      <c r="R719" s="256">
        <f t="shared" si="142"/>
        <v>15555</v>
      </c>
      <c r="S719" s="296"/>
      <c r="T719" s="3">
        <v>34</v>
      </c>
      <c r="U719" s="305"/>
    </row>
    <row r="720" spans="1:21" ht="30" customHeight="1" x14ac:dyDescent="0.35">
      <c r="A720" s="218" t="s">
        <v>3013</v>
      </c>
      <c r="B720" s="3">
        <v>683</v>
      </c>
      <c r="C720" s="44">
        <v>102001315</v>
      </c>
      <c r="D720" s="18" t="s">
        <v>290</v>
      </c>
      <c r="E720" s="18" t="s">
        <v>711</v>
      </c>
      <c r="F720" s="12">
        <v>2</v>
      </c>
      <c r="G720" s="3" t="s">
        <v>0</v>
      </c>
      <c r="H720" s="5">
        <v>42004</v>
      </c>
      <c r="I720" s="3" t="s">
        <v>1003</v>
      </c>
      <c r="J720" s="4" t="s">
        <v>1962</v>
      </c>
      <c r="K720" s="6" t="s">
        <v>988</v>
      </c>
      <c r="L720" s="5" t="s">
        <v>871</v>
      </c>
      <c r="M720" s="72">
        <f t="shared" si="143"/>
        <v>80100</v>
      </c>
      <c r="N720" s="72">
        <f t="shared" si="144"/>
        <v>40050</v>
      </c>
      <c r="O720" s="72">
        <v>80100</v>
      </c>
      <c r="P720" s="72">
        <v>39880</v>
      </c>
      <c r="Q720" s="256">
        <f t="shared" si="141"/>
        <v>8773.6</v>
      </c>
      <c r="R720" s="256">
        <f t="shared" si="142"/>
        <v>48653.599999999999</v>
      </c>
      <c r="S720" s="296"/>
      <c r="T720" s="3">
        <v>34</v>
      </c>
      <c r="U720" s="305"/>
    </row>
    <row r="721" spans="1:21" ht="30" customHeight="1" x14ac:dyDescent="0.35">
      <c r="A721" s="218" t="s">
        <v>3014</v>
      </c>
      <c r="B721" s="3">
        <v>684</v>
      </c>
      <c r="C721" s="44">
        <v>102001407</v>
      </c>
      <c r="D721" s="18" t="s">
        <v>293</v>
      </c>
      <c r="E721" s="18" t="s">
        <v>711</v>
      </c>
      <c r="F721" s="12">
        <v>2</v>
      </c>
      <c r="G721" s="3" t="s">
        <v>0</v>
      </c>
      <c r="H721" s="5">
        <v>42004</v>
      </c>
      <c r="I721" s="3" t="s">
        <v>1003</v>
      </c>
      <c r="J721" s="4" t="s">
        <v>1962</v>
      </c>
      <c r="K721" s="6" t="s">
        <v>988</v>
      </c>
      <c r="L721" s="5" t="s">
        <v>871</v>
      </c>
      <c r="M721" s="72">
        <f t="shared" si="143"/>
        <v>113700</v>
      </c>
      <c r="N721" s="72">
        <f t="shared" si="144"/>
        <v>56850</v>
      </c>
      <c r="O721" s="72">
        <v>113700</v>
      </c>
      <c r="P721" s="72">
        <v>56610</v>
      </c>
      <c r="Q721" s="256">
        <f t="shared" si="141"/>
        <v>12454.2</v>
      </c>
      <c r="R721" s="256">
        <f t="shared" si="142"/>
        <v>69064.2</v>
      </c>
      <c r="S721" s="296"/>
      <c r="T721" s="3">
        <v>34</v>
      </c>
      <c r="U721" s="305"/>
    </row>
    <row r="722" spans="1:21" ht="30" customHeight="1" x14ac:dyDescent="0.35">
      <c r="A722" s="218" t="s">
        <v>3015</v>
      </c>
      <c r="B722" s="3">
        <v>685</v>
      </c>
      <c r="C722" s="44">
        <v>102001412</v>
      </c>
      <c r="D722" s="18" t="s">
        <v>294</v>
      </c>
      <c r="E722" s="18" t="s">
        <v>711</v>
      </c>
      <c r="F722" s="12">
        <v>2</v>
      </c>
      <c r="G722" s="3" t="s">
        <v>0</v>
      </c>
      <c r="H722" s="5">
        <v>42004</v>
      </c>
      <c r="I722" s="3" t="s">
        <v>1003</v>
      </c>
      <c r="J722" s="4" t="s">
        <v>1962</v>
      </c>
      <c r="K722" s="6" t="s">
        <v>988</v>
      </c>
      <c r="L722" s="5" t="s">
        <v>871</v>
      </c>
      <c r="M722" s="72">
        <f t="shared" si="143"/>
        <v>156280</v>
      </c>
      <c r="N722" s="72">
        <f t="shared" si="144"/>
        <v>78140</v>
      </c>
      <c r="O722" s="72">
        <v>156280</v>
      </c>
      <c r="P722" s="72">
        <v>77820</v>
      </c>
      <c r="Q722" s="256">
        <f t="shared" si="141"/>
        <v>17120.400000000001</v>
      </c>
      <c r="R722" s="256">
        <f t="shared" si="142"/>
        <v>94940.4</v>
      </c>
      <c r="S722" s="296"/>
      <c r="T722" s="3">
        <v>34</v>
      </c>
      <c r="U722" s="305"/>
    </row>
    <row r="723" spans="1:21" ht="30" customHeight="1" x14ac:dyDescent="0.35">
      <c r="A723" s="218" t="s">
        <v>3016</v>
      </c>
      <c r="B723" s="3">
        <v>686</v>
      </c>
      <c r="C723" s="44">
        <v>10135769</v>
      </c>
      <c r="D723" s="18" t="s">
        <v>307</v>
      </c>
      <c r="E723" s="18" t="s">
        <v>2197</v>
      </c>
      <c r="F723" s="12">
        <v>1</v>
      </c>
      <c r="G723" s="3" t="s">
        <v>0</v>
      </c>
      <c r="H723" s="49">
        <v>2010</v>
      </c>
      <c r="I723" s="5" t="s">
        <v>999</v>
      </c>
      <c r="J723" s="4" t="s">
        <v>1962</v>
      </c>
      <c r="K723" s="5" t="s">
        <v>988</v>
      </c>
      <c r="L723" s="5" t="s">
        <v>871</v>
      </c>
      <c r="M723" s="72">
        <f t="shared" si="143"/>
        <v>30097</v>
      </c>
      <c r="N723" s="72">
        <f t="shared" si="144"/>
        <v>30097</v>
      </c>
      <c r="O723" s="72">
        <v>30097</v>
      </c>
      <c r="P723" s="72">
        <v>16810</v>
      </c>
      <c r="Q723" s="256">
        <f t="shared" si="141"/>
        <v>3698.2</v>
      </c>
      <c r="R723" s="256">
        <f t="shared" si="142"/>
        <v>20508.2</v>
      </c>
      <c r="S723" s="296"/>
      <c r="T723" s="3">
        <v>34</v>
      </c>
      <c r="U723" s="305"/>
    </row>
    <row r="724" spans="1:21" ht="30" customHeight="1" x14ac:dyDescent="0.35">
      <c r="A724" s="218" t="s">
        <v>3017</v>
      </c>
      <c r="B724" s="3">
        <v>687</v>
      </c>
      <c r="C724" s="44">
        <v>10135799</v>
      </c>
      <c r="D724" s="18" t="s">
        <v>308</v>
      </c>
      <c r="E724" s="18" t="s">
        <v>2197</v>
      </c>
      <c r="F724" s="12">
        <v>1</v>
      </c>
      <c r="G724" s="3" t="s">
        <v>0</v>
      </c>
      <c r="H724" s="49">
        <v>2010</v>
      </c>
      <c r="I724" s="5" t="s">
        <v>999</v>
      </c>
      <c r="J724" s="4" t="s">
        <v>1962</v>
      </c>
      <c r="K724" s="5" t="s">
        <v>988</v>
      </c>
      <c r="L724" s="5" t="s">
        <v>871</v>
      </c>
      <c r="M724" s="72">
        <f t="shared" si="143"/>
        <v>13118</v>
      </c>
      <c r="N724" s="72">
        <f t="shared" si="144"/>
        <v>13118</v>
      </c>
      <c r="O724" s="72">
        <v>13118</v>
      </c>
      <c r="P724" s="72">
        <v>7330</v>
      </c>
      <c r="Q724" s="256">
        <f t="shared" si="141"/>
        <v>1612.6</v>
      </c>
      <c r="R724" s="256">
        <f t="shared" si="142"/>
        <v>8942.6</v>
      </c>
      <c r="S724" s="296"/>
      <c r="T724" s="3">
        <v>34</v>
      </c>
      <c r="U724" s="305"/>
    </row>
    <row r="725" spans="1:21" ht="30" customHeight="1" x14ac:dyDescent="0.35">
      <c r="A725" s="218" t="s">
        <v>3018</v>
      </c>
      <c r="B725" s="3">
        <v>688</v>
      </c>
      <c r="C725" s="44">
        <v>10135816</v>
      </c>
      <c r="D725" s="18" t="s">
        <v>309</v>
      </c>
      <c r="E725" s="18" t="s">
        <v>2197</v>
      </c>
      <c r="F725" s="12">
        <v>1</v>
      </c>
      <c r="G725" s="3" t="s">
        <v>0</v>
      </c>
      <c r="H725" s="49">
        <v>2010</v>
      </c>
      <c r="I725" s="5" t="s">
        <v>999</v>
      </c>
      <c r="J725" s="4" t="s">
        <v>1962</v>
      </c>
      <c r="K725" s="5" t="s">
        <v>988</v>
      </c>
      <c r="L725" s="5" t="s">
        <v>871</v>
      </c>
      <c r="M725" s="72">
        <f t="shared" si="143"/>
        <v>25632</v>
      </c>
      <c r="N725" s="72">
        <f t="shared" si="144"/>
        <v>25632</v>
      </c>
      <c r="O725" s="72">
        <v>25632</v>
      </c>
      <c r="P725" s="72">
        <v>14320</v>
      </c>
      <c r="Q725" s="256">
        <f t="shared" si="141"/>
        <v>3150.4</v>
      </c>
      <c r="R725" s="256">
        <f t="shared" si="142"/>
        <v>17470.400000000001</v>
      </c>
      <c r="S725" s="296"/>
      <c r="T725" s="3">
        <v>34</v>
      </c>
      <c r="U725" s="305"/>
    </row>
    <row r="726" spans="1:21" ht="30" customHeight="1" x14ac:dyDescent="0.35">
      <c r="A726" s="218" t="s">
        <v>3019</v>
      </c>
      <c r="B726" s="3">
        <v>689</v>
      </c>
      <c r="C726" s="44">
        <v>10135883</v>
      </c>
      <c r="D726" s="18" t="s">
        <v>310</v>
      </c>
      <c r="E726" s="18" t="s">
        <v>2197</v>
      </c>
      <c r="F726" s="12">
        <v>1</v>
      </c>
      <c r="G726" s="3" t="s">
        <v>0</v>
      </c>
      <c r="H726" s="49" t="s">
        <v>2195</v>
      </c>
      <c r="I726" s="5" t="s">
        <v>999</v>
      </c>
      <c r="J726" s="4" t="s">
        <v>1962</v>
      </c>
      <c r="K726" s="5" t="s">
        <v>988</v>
      </c>
      <c r="L726" s="5" t="s">
        <v>871</v>
      </c>
      <c r="M726" s="72">
        <f t="shared" si="143"/>
        <v>8296</v>
      </c>
      <c r="N726" s="72">
        <f t="shared" si="144"/>
        <v>8296</v>
      </c>
      <c r="O726" s="72">
        <v>8296</v>
      </c>
      <c r="P726" s="72">
        <v>4630</v>
      </c>
      <c r="Q726" s="256">
        <f t="shared" ref="Q726:Q757" si="145">R726-P726</f>
        <v>1018.6</v>
      </c>
      <c r="R726" s="256">
        <f t="shared" ref="R726:R757" si="146">P726*1.22</f>
        <v>5648.6</v>
      </c>
      <c r="S726" s="296"/>
      <c r="T726" s="3">
        <v>34</v>
      </c>
      <c r="U726" s="305"/>
    </row>
    <row r="727" spans="1:21" ht="22.5" customHeight="1" x14ac:dyDescent="0.35">
      <c r="A727" s="218" t="s">
        <v>3020</v>
      </c>
      <c r="B727" s="3">
        <v>690</v>
      </c>
      <c r="C727" s="44">
        <v>10135887</v>
      </c>
      <c r="D727" s="18" t="s">
        <v>311</v>
      </c>
      <c r="E727" s="18" t="s">
        <v>2197</v>
      </c>
      <c r="F727" s="12">
        <v>1</v>
      </c>
      <c r="G727" s="3" t="s">
        <v>0</v>
      </c>
      <c r="H727" s="49" t="s">
        <v>2195</v>
      </c>
      <c r="I727" s="5" t="s">
        <v>999</v>
      </c>
      <c r="J727" s="4" t="s">
        <v>1962</v>
      </c>
      <c r="K727" s="5" t="s">
        <v>988</v>
      </c>
      <c r="L727" s="5" t="s">
        <v>871</v>
      </c>
      <c r="M727" s="72">
        <f t="shared" si="143"/>
        <v>16768</v>
      </c>
      <c r="N727" s="72">
        <f t="shared" si="144"/>
        <v>16768</v>
      </c>
      <c r="O727" s="72">
        <v>16768</v>
      </c>
      <c r="P727" s="72">
        <v>9370</v>
      </c>
      <c r="Q727" s="256">
        <f t="shared" si="145"/>
        <v>2061.4</v>
      </c>
      <c r="R727" s="256">
        <f t="shared" si="146"/>
        <v>11431.4</v>
      </c>
      <c r="S727" s="296"/>
      <c r="T727" s="3">
        <v>34</v>
      </c>
      <c r="U727" s="305"/>
    </row>
    <row r="728" spans="1:21" ht="30" customHeight="1" x14ac:dyDescent="0.35">
      <c r="A728" s="218" t="s">
        <v>3021</v>
      </c>
      <c r="B728" s="3">
        <v>691</v>
      </c>
      <c r="C728" s="44">
        <v>10136834</v>
      </c>
      <c r="D728" s="18" t="s">
        <v>312</v>
      </c>
      <c r="E728" s="18" t="s">
        <v>2197</v>
      </c>
      <c r="F728" s="12">
        <v>1</v>
      </c>
      <c r="G728" s="3" t="s">
        <v>0</v>
      </c>
      <c r="H728" s="49" t="s">
        <v>2195</v>
      </c>
      <c r="I728" s="3" t="s">
        <v>999</v>
      </c>
      <c r="J728" s="4" t="s">
        <v>1962</v>
      </c>
      <c r="K728" s="5" t="s">
        <v>988</v>
      </c>
      <c r="L728" s="5" t="s">
        <v>871</v>
      </c>
      <c r="M728" s="72">
        <f t="shared" si="143"/>
        <v>36386</v>
      </c>
      <c r="N728" s="72">
        <f t="shared" si="144"/>
        <v>36386</v>
      </c>
      <c r="O728" s="72">
        <v>36386</v>
      </c>
      <c r="P728" s="72">
        <v>20320</v>
      </c>
      <c r="Q728" s="256">
        <f t="shared" si="145"/>
        <v>4470.3999999999996</v>
      </c>
      <c r="R728" s="256">
        <f t="shared" si="146"/>
        <v>24790.400000000001</v>
      </c>
      <c r="S728" s="296"/>
      <c r="T728" s="3">
        <v>34</v>
      </c>
      <c r="U728" s="305"/>
    </row>
    <row r="729" spans="1:21" ht="30" customHeight="1" x14ac:dyDescent="0.35">
      <c r="A729" s="218" t="s">
        <v>3022</v>
      </c>
      <c r="B729" s="3">
        <v>692</v>
      </c>
      <c r="C729" s="44">
        <v>10136835</v>
      </c>
      <c r="D729" s="18" t="s">
        <v>313</v>
      </c>
      <c r="E729" s="18" t="s">
        <v>2197</v>
      </c>
      <c r="F729" s="12">
        <v>1</v>
      </c>
      <c r="G729" s="3" t="s">
        <v>0</v>
      </c>
      <c r="H729" s="49" t="s">
        <v>2195</v>
      </c>
      <c r="I729" s="3" t="s">
        <v>999</v>
      </c>
      <c r="J729" s="4" t="s">
        <v>1962</v>
      </c>
      <c r="K729" s="5" t="s">
        <v>988</v>
      </c>
      <c r="L729" s="5" t="s">
        <v>871</v>
      </c>
      <c r="M729" s="72">
        <f t="shared" si="143"/>
        <v>39955</v>
      </c>
      <c r="N729" s="72">
        <f t="shared" si="144"/>
        <v>39955</v>
      </c>
      <c r="O729" s="72">
        <v>39955</v>
      </c>
      <c r="P729" s="72">
        <v>22320</v>
      </c>
      <c r="Q729" s="256">
        <f t="shared" si="145"/>
        <v>4910.3999999999996</v>
      </c>
      <c r="R729" s="256">
        <f t="shared" si="146"/>
        <v>27230.400000000001</v>
      </c>
      <c r="S729" s="296"/>
      <c r="T729" s="3">
        <v>34</v>
      </c>
      <c r="U729" s="305"/>
    </row>
    <row r="730" spans="1:21" ht="30" customHeight="1" x14ac:dyDescent="0.35">
      <c r="A730" s="218" t="s">
        <v>3023</v>
      </c>
      <c r="B730" s="3">
        <v>693</v>
      </c>
      <c r="C730" s="44">
        <v>10136848</v>
      </c>
      <c r="D730" s="18" t="s">
        <v>314</v>
      </c>
      <c r="E730" s="18" t="s">
        <v>2197</v>
      </c>
      <c r="F730" s="12">
        <v>1</v>
      </c>
      <c r="G730" s="3" t="s">
        <v>0</v>
      </c>
      <c r="H730" s="49" t="s">
        <v>2195</v>
      </c>
      <c r="I730" s="5" t="s">
        <v>999</v>
      </c>
      <c r="J730" s="4" t="s">
        <v>1962</v>
      </c>
      <c r="K730" s="5" t="s">
        <v>988</v>
      </c>
      <c r="L730" s="5" t="s">
        <v>871</v>
      </c>
      <c r="M730" s="72">
        <f t="shared" si="143"/>
        <v>34766</v>
      </c>
      <c r="N730" s="72">
        <f t="shared" si="144"/>
        <v>34766</v>
      </c>
      <c r="O730" s="72">
        <v>34766</v>
      </c>
      <c r="P730" s="72">
        <v>19420</v>
      </c>
      <c r="Q730" s="256">
        <f t="shared" si="145"/>
        <v>4272.3999999999996</v>
      </c>
      <c r="R730" s="256">
        <f t="shared" si="146"/>
        <v>23692.400000000001</v>
      </c>
      <c r="S730" s="296"/>
      <c r="T730" s="3">
        <v>34</v>
      </c>
      <c r="U730" s="305"/>
    </row>
    <row r="731" spans="1:21" ht="30" customHeight="1" x14ac:dyDescent="0.35">
      <c r="A731" s="218" t="s">
        <v>3024</v>
      </c>
      <c r="B731" s="3">
        <v>694</v>
      </c>
      <c r="C731" s="44">
        <v>102002051</v>
      </c>
      <c r="D731" s="18" t="s">
        <v>341</v>
      </c>
      <c r="E731" s="18" t="s">
        <v>2197</v>
      </c>
      <c r="F731" s="12">
        <v>1</v>
      </c>
      <c r="G731" s="3" t="s">
        <v>0</v>
      </c>
      <c r="H731" s="49" t="s">
        <v>2195</v>
      </c>
      <c r="I731" s="5" t="s">
        <v>999</v>
      </c>
      <c r="J731" s="4" t="s">
        <v>1962</v>
      </c>
      <c r="K731" s="5" t="s">
        <v>988</v>
      </c>
      <c r="L731" s="5" t="s">
        <v>871</v>
      </c>
      <c r="M731" s="72">
        <f t="shared" si="143"/>
        <v>46028.75</v>
      </c>
      <c r="N731" s="72">
        <f t="shared" ref="N731:N759" si="147">O731/F731</f>
        <v>46028.75</v>
      </c>
      <c r="O731" s="72">
        <v>46028.75</v>
      </c>
      <c r="P731" s="72">
        <v>25710</v>
      </c>
      <c r="Q731" s="256">
        <f t="shared" si="145"/>
        <v>5656.2</v>
      </c>
      <c r="R731" s="256">
        <f t="shared" si="146"/>
        <v>31366.2</v>
      </c>
      <c r="S731" s="296"/>
      <c r="T731" s="3">
        <v>34</v>
      </c>
      <c r="U731" s="305"/>
    </row>
    <row r="732" spans="1:21" ht="30" customHeight="1" x14ac:dyDescent="0.35">
      <c r="A732" s="218" t="s">
        <v>3025</v>
      </c>
      <c r="B732" s="3">
        <v>695</v>
      </c>
      <c r="C732" s="44">
        <v>10135767</v>
      </c>
      <c r="D732" s="18" t="s">
        <v>355</v>
      </c>
      <c r="E732" s="18" t="s">
        <v>2197</v>
      </c>
      <c r="F732" s="12">
        <v>2</v>
      </c>
      <c r="G732" s="3" t="s">
        <v>0</v>
      </c>
      <c r="H732" s="49" t="s">
        <v>2195</v>
      </c>
      <c r="I732" s="5" t="s">
        <v>999</v>
      </c>
      <c r="J732" s="4" t="s">
        <v>1962</v>
      </c>
      <c r="K732" s="5" t="s">
        <v>988</v>
      </c>
      <c r="L732" s="5" t="s">
        <v>871</v>
      </c>
      <c r="M732" s="72">
        <f t="shared" si="143"/>
        <v>60194</v>
      </c>
      <c r="N732" s="72">
        <f t="shared" si="147"/>
        <v>30097</v>
      </c>
      <c r="O732" s="72">
        <v>60194</v>
      </c>
      <c r="P732" s="72">
        <v>33620</v>
      </c>
      <c r="Q732" s="256">
        <f t="shared" si="145"/>
        <v>7396.4</v>
      </c>
      <c r="R732" s="256">
        <f t="shared" si="146"/>
        <v>41016.400000000001</v>
      </c>
      <c r="S732" s="296"/>
      <c r="T732" s="3">
        <v>34</v>
      </c>
      <c r="U732" s="305"/>
    </row>
    <row r="733" spans="1:21" ht="30" customHeight="1" x14ac:dyDescent="0.35">
      <c r="A733" s="218" t="s">
        <v>3026</v>
      </c>
      <c r="B733" s="3">
        <v>696</v>
      </c>
      <c r="C733" s="44">
        <v>10135768</v>
      </c>
      <c r="D733" s="18" t="s">
        <v>356</v>
      </c>
      <c r="E733" s="18" t="s">
        <v>2197</v>
      </c>
      <c r="F733" s="12">
        <v>2</v>
      </c>
      <c r="G733" s="3" t="s">
        <v>0</v>
      </c>
      <c r="H733" s="49" t="s">
        <v>2195</v>
      </c>
      <c r="I733" s="5" t="s">
        <v>999</v>
      </c>
      <c r="J733" s="4" t="s">
        <v>1962</v>
      </c>
      <c r="K733" s="5" t="s">
        <v>988</v>
      </c>
      <c r="L733" s="5" t="s">
        <v>871</v>
      </c>
      <c r="M733" s="72">
        <f t="shared" si="143"/>
        <v>60194</v>
      </c>
      <c r="N733" s="72">
        <f t="shared" si="147"/>
        <v>30097</v>
      </c>
      <c r="O733" s="72">
        <v>60194</v>
      </c>
      <c r="P733" s="72">
        <v>33620</v>
      </c>
      <c r="Q733" s="256">
        <f t="shared" si="145"/>
        <v>7396.4</v>
      </c>
      <c r="R733" s="256">
        <f t="shared" si="146"/>
        <v>41016.400000000001</v>
      </c>
      <c r="S733" s="296"/>
      <c r="T733" s="3">
        <v>34</v>
      </c>
      <c r="U733" s="305"/>
    </row>
    <row r="734" spans="1:21" ht="24" customHeight="1" x14ac:dyDescent="0.35">
      <c r="A734" s="218" t="s">
        <v>3027</v>
      </c>
      <c r="B734" s="3">
        <v>697</v>
      </c>
      <c r="C734" s="44">
        <v>10135867</v>
      </c>
      <c r="D734" s="18" t="s">
        <v>357</v>
      </c>
      <c r="E734" s="18" t="s">
        <v>2197</v>
      </c>
      <c r="F734" s="12">
        <v>2</v>
      </c>
      <c r="G734" s="3" t="s">
        <v>0</v>
      </c>
      <c r="H734" s="49" t="s">
        <v>2195</v>
      </c>
      <c r="I734" s="5" t="s">
        <v>999</v>
      </c>
      <c r="J734" s="4" t="s">
        <v>1962</v>
      </c>
      <c r="K734" s="5" t="s">
        <v>988</v>
      </c>
      <c r="L734" s="5" t="s">
        <v>871</v>
      </c>
      <c r="M734" s="72">
        <f t="shared" si="143"/>
        <v>11453.22</v>
      </c>
      <c r="N734" s="72">
        <f t="shared" si="147"/>
        <v>5726.61</v>
      </c>
      <c r="O734" s="72">
        <v>11453.22</v>
      </c>
      <c r="P734" s="72">
        <v>6400</v>
      </c>
      <c r="Q734" s="256">
        <f t="shared" si="145"/>
        <v>1408</v>
      </c>
      <c r="R734" s="256">
        <f t="shared" si="146"/>
        <v>7808</v>
      </c>
      <c r="S734" s="296"/>
      <c r="T734" s="3">
        <v>34</v>
      </c>
      <c r="U734" s="305"/>
    </row>
    <row r="735" spans="1:21" ht="30" customHeight="1" x14ac:dyDescent="0.35">
      <c r="A735" s="218" t="s">
        <v>3028</v>
      </c>
      <c r="B735" s="3">
        <v>698</v>
      </c>
      <c r="C735" s="44">
        <v>10136862</v>
      </c>
      <c r="D735" s="18" t="s">
        <v>372</v>
      </c>
      <c r="E735" s="18" t="s">
        <v>2197</v>
      </c>
      <c r="F735" s="12">
        <v>3</v>
      </c>
      <c r="G735" s="3" t="s">
        <v>0</v>
      </c>
      <c r="H735" s="49" t="s">
        <v>2195</v>
      </c>
      <c r="I735" s="5" t="s">
        <v>999</v>
      </c>
      <c r="J735" s="4" t="s">
        <v>1962</v>
      </c>
      <c r="K735" s="5" t="s">
        <v>988</v>
      </c>
      <c r="L735" s="5" t="s">
        <v>871</v>
      </c>
      <c r="M735" s="73">
        <f t="shared" si="143"/>
        <v>102000</v>
      </c>
      <c r="N735" s="73">
        <f t="shared" si="147"/>
        <v>34000</v>
      </c>
      <c r="O735" s="72">
        <v>102000</v>
      </c>
      <c r="P735" s="72">
        <v>56970</v>
      </c>
      <c r="Q735" s="256">
        <f t="shared" si="145"/>
        <v>12533.4</v>
      </c>
      <c r="R735" s="256">
        <f t="shared" si="146"/>
        <v>69503.399999999994</v>
      </c>
      <c r="S735" s="296"/>
      <c r="T735" s="3">
        <v>34</v>
      </c>
      <c r="U735" s="305"/>
    </row>
    <row r="736" spans="1:21" ht="30" customHeight="1" x14ac:dyDescent="0.35">
      <c r="A736" s="218" t="s">
        <v>3029</v>
      </c>
      <c r="B736" s="3">
        <v>699</v>
      </c>
      <c r="C736" s="44">
        <v>102001318</v>
      </c>
      <c r="D736" s="18" t="s">
        <v>377</v>
      </c>
      <c r="E736" s="18" t="s">
        <v>2197</v>
      </c>
      <c r="F736" s="12">
        <v>4</v>
      </c>
      <c r="G736" s="3" t="s">
        <v>0</v>
      </c>
      <c r="H736" s="49" t="s">
        <v>2195</v>
      </c>
      <c r="I736" s="5" t="s">
        <v>999</v>
      </c>
      <c r="J736" s="4" t="s">
        <v>1962</v>
      </c>
      <c r="K736" s="5" t="s">
        <v>988</v>
      </c>
      <c r="L736" s="5" t="s">
        <v>871</v>
      </c>
      <c r="M736" s="72">
        <f t="shared" si="143"/>
        <v>1178960</v>
      </c>
      <c r="N736" s="72">
        <f t="shared" si="147"/>
        <v>294740</v>
      </c>
      <c r="O736" s="72">
        <v>1178960</v>
      </c>
      <c r="P736" s="72">
        <v>658520</v>
      </c>
      <c r="Q736" s="256">
        <f t="shared" si="145"/>
        <v>144874.4</v>
      </c>
      <c r="R736" s="256">
        <f t="shared" si="146"/>
        <v>803394.4</v>
      </c>
      <c r="S736" s="296"/>
      <c r="T736" s="3">
        <v>34</v>
      </c>
      <c r="U736" s="305"/>
    </row>
    <row r="737" spans="1:21" ht="30" customHeight="1" x14ac:dyDescent="0.35">
      <c r="A737" s="218" t="s">
        <v>3030</v>
      </c>
      <c r="B737" s="3">
        <v>700</v>
      </c>
      <c r="C737" s="44">
        <v>102002074</v>
      </c>
      <c r="D737" s="18" t="s">
        <v>378</v>
      </c>
      <c r="E737" s="18" t="s">
        <v>2197</v>
      </c>
      <c r="F737" s="12">
        <v>4</v>
      </c>
      <c r="G737" s="3" t="s">
        <v>0</v>
      </c>
      <c r="H737" s="49" t="s">
        <v>2195</v>
      </c>
      <c r="I737" s="5" t="s">
        <v>999</v>
      </c>
      <c r="J737" s="4" t="s">
        <v>1962</v>
      </c>
      <c r="K737" s="5" t="s">
        <v>988</v>
      </c>
      <c r="L737" s="5" t="s">
        <v>871</v>
      </c>
      <c r="M737" s="72">
        <f t="shared" si="143"/>
        <v>217906.84</v>
      </c>
      <c r="N737" s="72">
        <f t="shared" si="147"/>
        <v>54476.71</v>
      </c>
      <c r="O737" s="72">
        <v>217906.84</v>
      </c>
      <c r="P737" s="72">
        <v>121710</v>
      </c>
      <c r="Q737" s="256">
        <f t="shared" si="145"/>
        <v>26776.2</v>
      </c>
      <c r="R737" s="256">
        <f t="shared" si="146"/>
        <v>148486.20000000001</v>
      </c>
      <c r="S737" s="296"/>
      <c r="T737" s="3">
        <v>34</v>
      </c>
      <c r="U737" s="305"/>
    </row>
    <row r="738" spans="1:21" ht="30" customHeight="1" x14ac:dyDescent="0.35">
      <c r="A738" s="218" t="s">
        <v>3031</v>
      </c>
      <c r="B738" s="3">
        <v>701</v>
      </c>
      <c r="C738" s="44">
        <v>10125353</v>
      </c>
      <c r="D738" s="18" t="s">
        <v>352</v>
      </c>
      <c r="E738" s="18" t="s">
        <v>2201</v>
      </c>
      <c r="F738" s="12">
        <v>2</v>
      </c>
      <c r="G738" s="3" t="s">
        <v>0</v>
      </c>
      <c r="H738" s="5">
        <v>42004</v>
      </c>
      <c r="I738" s="5" t="s">
        <v>999</v>
      </c>
      <c r="J738" s="4" t="s">
        <v>1962</v>
      </c>
      <c r="K738" s="5" t="s">
        <v>988</v>
      </c>
      <c r="L738" s="29" t="s">
        <v>2143</v>
      </c>
      <c r="M738" s="78">
        <f t="shared" si="143"/>
        <v>60389.68</v>
      </c>
      <c r="N738" s="78">
        <f t="shared" si="147"/>
        <v>30194.84</v>
      </c>
      <c r="O738" s="78">
        <v>60389.68</v>
      </c>
      <c r="P738" s="72">
        <v>30070</v>
      </c>
      <c r="Q738" s="256">
        <f t="shared" si="145"/>
        <v>6615.4</v>
      </c>
      <c r="R738" s="256">
        <f t="shared" si="146"/>
        <v>36685.4</v>
      </c>
      <c r="S738" s="296"/>
      <c r="T738" s="3">
        <v>34</v>
      </c>
      <c r="U738" s="305"/>
    </row>
    <row r="739" spans="1:21" ht="38.25" customHeight="1" x14ac:dyDescent="0.35">
      <c r="A739" s="218" t="s">
        <v>3032</v>
      </c>
      <c r="B739" s="3">
        <v>702</v>
      </c>
      <c r="C739" s="44">
        <v>10092284</v>
      </c>
      <c r="D739" s="18" t="s">
        <v>57</v>
      </c>
      <c r="E739" s="48" t="s">
        <v>2200</v>
      </c>
      <c r="F739" s="12">
        <v>1</v>
      </c>
      <c r="G739" s="3" t="s">
        <v>0</v>
      </c>
      <c r="H739" s="5">
        <v>41577</v>
      </c>
      <c r="I739" s="18" t="s">
        <v>1963</v>
      </c>
      <c r="J739" s="4" t="s">
        <v>1962</v>
      </c>
      <c r="K739" s="6" t="s">
        <v>57</v>
      </c>
      <c r="L739" s="5" t="s">
        <v>871</v>
      </c>
      <c r="M739" s="72">
        <f t="shared" si="143"/>
        <v>11233.9</v>
      </c>
      <c r="N739" s="72">
        <f t="shared" si="147"/>
        <v>11233.9</v>
      </c>
      <c r="O739" s="72">
        <v>11233.9</v>
      </c>
      <c r="P739" s="72">
        <v>6620</v>
      </c>
      <c r="Q739" s="256">
        <f t="shared" si="145"/>
        <v>1456.4</v>
      </c>
      <c r="R739" s="256">
        <f t="shared" si="146"/>
        <v>8076.4</v>
      </c>
      <c r="S739" s="296"/>
      <c r="T739" s="3">
        <v>34</v>
      </c>
      <c r="U739" s="305"/>
    </row>
    <row r="740" spans="1:21" ht="30" customHeight="1" x14ac:dyDescent="0.35">
      <c r="A740" s="218" t="s">
        <v>3033</v>
      </c>
      <c r="B740" s="3">
        <v>703</v>
      </c>
      <c r="C740" s="44">
        <v>102000816</v>
      </c>
      <c r="D740" s="18" t="s">
        <v>156</v>
      </c>
      <c r="E740" s="48" t="s">
        <v>2200</v>
      </c>
      <c r="F740" s="12">
        <v>1</v>
      </c>
      <c r="G740" s="3" t="s">
        <v>0</v>
      </c>
      <c r="H740" s="5">
        <v>42004</v>
      </c>
      <c r="I740" s="49" t="s">
        <v>1963</v>
      </c>
      <c r="J740" s="4" t="s">
        <v>1962</v>
      </c>
      <c r="K740" s="4" t="s">
        <v>156</v>
      </c>
      <c r="L740" s="5" t="s">
        <v>871</v>
      </c>
      <c r="M740" s="72">
        <f t="shared" si="143"/>
        <v>24692.400000000001</v>
      </c>
      <c r="N740" s="72">
        <f t="shared" si="147"/>
        <v>24692.400000000001</v>
      </c>
      <c r="O740" s="72">
        <v>24692.400000000001</v>
      </c>
      <c r="P740" s="72">
        <v>12290</v>
      </c>
      <c r="Q740" s="256">
        <f t="shared" si="145"/>
        <v>2703.8</v>
      </c>
      <c r="R740" s="256">
        <f t="shared" si="146"/>
        <v>14993.8</v>
      </c>
      <c r="S740" s="296"/>
      <c r="T740" s="3">
        <v>34</v>
      </c>
      <c r="U740" s="305"/>
    </row>
    <row r="741" spans="1:21" ht="30" customHeight="1" x14ac:dyDescent="0.35">
      <c r="A741" s="218" t="s">
        <v>3034</v>
      </c>
      <c r="B741" s="3">
        <v>704</v>
      </c>
      <c r="C741" s="44">
        <v>102001181</v>
      </c>
      <c r="D741" s="18" t="s">
        <v>160</v>
      </c>
      <c r="E741" s="48" t="s">
        <v>2200</v>
      </c>
      <c r="F741" s="12">
        <v>1</v>
      </c>
      <c r="G741" s="3" t="s">
        <v>0</v>
      </c>
      <c r="H741" s="5">
        <v>42004</v>
      </c>
      <c r="I741" s="49" t="s">
        <v>1963</v>
      </c>
      <c r="J741" s="4" t="s">
        <v>1962</v>
      </c>
      <c r="K741" s="4" t="s">
        <v>160</v>
      </c>
      <c r="L741" s="5" t="s">
        <v>871</v>
      </c>
      <c r="M741" s="72">
        <f t="shared" ref="M741:M798" si="148">O741</f>
        <v>29993.4</v>
      </c>
      <c r="N741" s="72">
        <f t="shared" si="147"/>
        <v>29993.4</v>
      </c>
      <c r="O741" s="72">
        <v>29993.4</v>
      </c>
      <c r="P741" s="72">
        <v>14930</v>
      </c>
      <c r="Q741" s="256">
        <f t="shared" si="145"/>
        <v>3284.6</v>
      </c>
      <c r="R741" s="256">
        <f t="shared" si="146"/>
        <v>18214.599999999999</v>
      </c>
      <c r="S741" s="296"/>
      <c r="T741" s="3">
        <v>34</v>
      </c>
      <c r="U741" s="305"/>
    </row>
    <row r="742" spans="1:21" ht="36" customHeight="1" x14ac:dyDescent="0.35">
      <c r="A742" s="218" t="s">
        <v>3035</v>
      </c>
      <c r="B742" s="3">
        <v>705</v>
      </c>
      <c r="C742" s="44">
        <v>102001211</v>
      </c>
      <c r="D742" s="18" t="s">
        <v>161</v>
      </c>
      <c r="E742" s="48" t="s">
        <v>2200</v>
      </c>
      <c r="F742" s="12">
        <v>1</v>
      </c>
      <c r="G742" s="3" t="s">
        <v>0</v>
      </c>
      <c r="H742" s="5">
        <v>42004</v>
      </c>
      <c r="I742" s="49" t="s">
        <v>1963</v>
      </c>
      <c r="J742" s="4" t="s">
        <v>1962</v>
      </c>
      <c r="K742" s="4" t="s">
        <v>161</v>
      </c>
      <c r="L742" s="5" t="s">
        <v>871</v>
      </c>
      <c r="M742" s="72">
        <f t="shared" si="148"/>
        <v>29937.21</v>
      </c>
      <c r="N742" s="72">
        <f t="shared" si="147"/>
        <v>29937.21</v>
      </c>
      <c r="O742" s="72">
        <v>29937.21</v>
      </c>
      <c r="P742" s="72">
        <v>14910</v>
      </c>
      <c r="Q742" s="256">
        <f t="shared" si="145"/>
        <v>3280.2</v>
      </c>
      <c r="R742" s="256">
        <f t="shared" si="146"/>
        <v>18190.2</v>
      </c>
      <c r="S742" s="296"/>
      <c r="T742" s="3">
        <v>34</v>
      </c>
      <c r="U742" s="305"/>
    </row>
    <row r="743" spans="1:21" ht="30" customHeight="1" x14ac:dyDescent="0.35">
      <c r="A743" s="218" t="s">
        <v>3036</v>
      </c>
      <c r="B743" s="3">
        <v>706</v>
      </c>
      <c r="C743" s="44">
        <v>10095548</v>
      </c>
      <c r="D743" s="18" t="s">
        <v>165</v>
      </c>
      <c r="E743" s="48" t="s">
        <v>2200</v>
      </c>
      <c r="F743" s="12">
        <v>2</v>
      </c>
      <c r="G743" s="3" t="s">
        <v>0</v>
      </c>
      <c r="H743" s="5">
        <v>42004</v>
      </c>
      <c r="I743" s="49" t="s">
        <v>1963</v>
      </c>
      <c r="J743" s="4" t="s">
        <v>1962</v>
      </c>
      <c r="K743" s="4" t="s">
        <v>165</v>
      </c>
      <c r="L743" s="5" t="s">
        <v>871</v>
      </c>
      <c r="M743" s="72">
        <f t="shared" si="148"/>
        <v>6955.5</v>
      </c>
      <c r="N743" s="72">
        <f t="shared" si="147"/>
        <v>3477.75</v>
      </c>
      <c r="O743" s="72">
        <v>6955.5</v>
      </c>
      <c r="P743" s="72">
        <v>3460</v>
      </c>
      <c r="Q743" s="256">
        <f t="shared" si="145"/>
        <v>761.2</v>
      </c>
      <c r="R743" s="256">
        <f t="shared" si="146"/>
        <v>4221.2</v>
      </c>
      <c r="S743" s="296"/>
      <c r="T743" s="3">
        <v>34</v>
      </c>
      <c r="U743" s="305"/>
    </row>
    <row r="744" spans="1:21" ht="30" customHeight="1" x14ac:dyDescent="0.35">
      <c r="A744" s="218" t="s">
        <v>3037</v>
      </c>
      <c r="B744" s="3">
        <v>707</v>
      </c>
      <c r="C744" s="44">
        <v>102001235</v>
      </c>
      <c r="D744" s="18" t="s">
        <v>166</v>
      </c>
      <c r="E744" s="48" t="s">
        <v>2200</v>
      </c>
      <c r="F744" s="12">
        <v>2</v>
      </c>
      <c r="G744" s="3" t="s">
        <v>0</v>
      </c>
      <c r="H744" s="5">
        <v>42004</v>
      </c>
      <c r="I744" s="49" t="s">
        <v>1963</v>
      </c>
      <c r="J744" s="4" t="s">
        <v>1962</v>
      </c>
      <c r="K744" s="4" t="s">
        <v>166</v>
      </c>
      <c r="L744" s="5" t="s">
        <v>871</v>
      </c>
      <c r="M744" s="72">
        <f t="shared" si="148"/>
        <v>50280.98</v>
      </c>
      <c r="N744" s="72">
        <f t="shared" si="147"/>
        <v>25140.49</v>
      </c>
      <c r="O744" s="72">
        <v>50280.98</v>
      </c>
      <c r="P744" s="72">
        <v>25040</v>
      </c>
      <c r="Q744" s="256">
        <f t="shared" si="145"/>
        <v>5508.8</v>
      </c>
      <c r="R744" s="256">
        <f t="shared" si="146"/>
        <v>30548.799999999999</v>
      </c>
      <c r="S744" s="296"/>
      <c r="T744" s="3">
        <v>34</v>
      </c>
      <c r="U744" s="305"/>
    </row>
    <row r="745" spans="1:21" ht="45" customHeight="1" x14ac:dyDescent="0.35">
      <c r="A745" s="218" t="s">
        <v>3038</v>
      </c>
      <c r="B745" s="3">
        <v>708</v>
      </c>
      <c r="C745" s="44">
        <v>102001188</v>
      </c>
      <c r="D745" s="18" t="s">
        <v>167</v>
      </c>
      <c r="E745" s="48" t="s">
        <v>2200</v>
      </c>
      <c r="F745" s="12">
        <v>3</v>
      </c>
      <c r="G745" s="3" t="s">
        <v>0</v>
      </c>
      <c r="H745" s="5">
        <v>42004</v>
      </c>
      <c r="I745" s="49" t="s">
        <v>1963</v>
      </c>
      <c r="J745" s="4" t="s">
        <v>1962</v>
      </c>
      <c r="K745" s="4" t="s">
        <v>167</v>
      </c>
      <c r="L745" s="5" t="s">
        <v>871</v>
      </c>
      <c r="M745" s="72">
        <f t="shared" si="148"/>
        <v>64612.89</v>
      </c>
      <c r="N745" s="72">
        <f t="shared" si="147"/>
        <v>21537.63</v>
      </c>
      <c r="O745" s="72">
        <v>64612.89</v>
      </c>
      <c r="P745" s="72">
        <v>32170</v>
      </c>
      <c r="Q745" s="256">
        <f t="shared" si="145"/>
        <v>7077.4</v>
      </c>
      <c r="R745" s="256">
        <f t="shared" si="146"/>
        <v>39247.4</v>
      </c>
      <c r="S745" s="296"/>
      <c r="T745" s="3">
        <v>34</v>
      </c>
      <c r="U745" s="305"/>
    </row>
    <row r="746" spans="1:21" ht="62.25" customHeight="1" x14ac:dyDescent="0.35">
      <c r="A746" s="218" t="s">
        <v>3039</v>
      </c>
      <c r="B746" s="3">
        <v>709</v>
      </c>
      <c r="C746" s="44">
        <v>10090146</v>
      </c>
      <c r="D746" s="18" t="s">
        <v>178</v>
      </c>
      <c r="E746" s="18" t="s">
        <v>4274</v>
      </c>
      <c r="F746" s="12">
        <v>1</v>
      </c>
      <c r="G746" s="3" t="s">
        <v>0</v>
      </c>
      <c r="H746" s="5">
        <v>42004</v>
      </c>
      <c r="I746" s="5" t="s">
        <v>985</v>
      </c>
      <c r="J746" s="4" t="s">
        <v>1962</v>
      </c>
      <c r="K746" s="6" t="s">
        <v>2002</v>
      </c>
      <c r="L746" s="6" t="s">
        <v>871</v>
      </c>
      <c r="M746" s="81">
        <f t="shared" si="148"/>
        <v>18640</v>
      </c>
      <c r="N746" s="81">
        <f t="shared" si="147"/>
        <v>18640</v>
      </c>
      <c r="O746" s="81">
        <v>18640</v>
      </c>
      <c r="P746" s="72">
        <v>9280</v>
      </c>
      <c r="Q746" s="256">
        <f t="shared" si="145"/>
        <v>2041.6</v>
      </c>
      <c r="R746" s="256">
        <f t="shared" si="146"/>
        <v>11321.6</v>
      </c>
      <c r="S746" s="296"/>
      <c r="T746" s="3">
        <v>34</v>
      </c>
      <c r="U746" s="305"/>
    </row>
    <row r="747" spans="1:21" ht="59.25" customHeight="1" x14ac:dyDescent="0.35">
      <c r="A747" s="218" t="s">
        <v>3040</v>
      </c>
      <c r="B747" s="3">
        <v>710</v>
      </c>
      <c r="C747" s="44">
        <v>10106106</v>
      </c>
      <c r="D747" s="18" t="s">
        <v>182</v>
      </c>
      <c r="E747" s="18" t="s">
        <v>4274</v>
      </c>
      <c r="F747" s="12">
        <v>1</v>
      </c>
      <c r="G747" s="3" t="s">
        <v>0</v>
      </c>
      <c r="H747" s="5">
        <v>42004</v>
      </c>
      <c r="I747" s="5" t="s">
        <v>985</v>
      </c>
      <c r="J747" s="4" t="s">
        <v>1962</v>
      </c>
      <c r="K747" s="6" t="s">
        <v>2003</v>
      </c>
      <c r="L747" s="6" t="s">
        <v>871</v>
      </c>
      <c r="M747" s="81">
        <f t="shared" si="148"/>
        <v>16920</v>
      </c>
      <c r="N747" s="81">
        <f t="shared" si="147"/>
        <v>16920</v>
      </c>
      <c r="O747" s="81">
        <v>16920</v>
      </c>
      <c r="P747" s="72">
        <v>8420</v>
      </c>
      <c r="Q747" s="256">
        <f t="shared" si="145"/>
        <v>1852.4</v>
      </c>
      <c r="R747" s="256">
        <f t="shared" si="146"/>
        <v>10272.4</v>
      </c>
      <c r="S747" s="296"/>
      <c r="T747" s="3">
        <v>34</v>
      </c>
      <c r="U747" s="305"/>
    </row>
    <row r="748" spans="1:21" ht="63.75" customHeight="1" x14ac:dyDescent="0.35">
      <c r="A748" s="218" t="s">
        <v>3041</v>
      </c>
      <c r="B748" s="3">
        <v>711</v>
      </c>
      <c r="C748" s="44">
        <v>102001104</v>
      </c>
      <c r="D748" s="18" t="s">
        <v>188</v>
      </c>
      <c r="E748" s="18" t="s">
        <v>4274</v>
      </c>
      <c r="F748" s="12">
        <v>1</v>
      </c>
      <c r="G748" s="3" t="s">
        <v>0</v>
      </c>
      <c r="H748" s="5">
        <v>40543</v>
      </c>
      <c r="I748" s="5" t="s">
        <v>985</v>
      </c>
      <c r="J748" s="4" t="s">
        <v>1962</v>
      </c>
      <c r="K748" s="6" t="s">
        <v>2004</v>
      </c>
      <c r="L748" s="6" t="s">
        <v>871</v>
      </c>
      <c r="M748" s="81">
        <f t="shared" si="148"/>
        <v>33454.92</v>
      </c>
      <c r="N748" s="81">
        <f t="shared" si="147"/>
        <v>33454.92</v>
      </c>
      <c r="O748" s="81">
        <v>33454.92</v>
      </c>
      <c r="P748" s="72">
        <v>18540</v>
      </c>
      <c r="Q748" s="256">
        <f t="shared" si="145"/>
        <v>4078.8</v>
      </c>
      <c r="R748" s="256">
        <f t="shared" si="146"/>
        <v>22618.799999999999</v>
      </c>
      <c r="S748" s="296"/>
      <c r="T748" s="3">
        <v>34</v>
      </c>
      <c r="U748" s="305"/>
    </row>
    <row r="749" spans="1:21" ht="59.25" customHeight="1" x14ac:dyDescent="0.35">
      <c r="A749" s="218" t="s">
        <v>3042</v>
      </c>
      <c r="B749" s="3">
        <v>712</v>
      </c>
      <c r="C749" s="44">
        <v>102001187</v>
      </c>
      <c r="D749" s="18" t="s">
        <v>189</v>
      </c>
      <c r="E749" s="18" t="s">
        <v>4274</v>
      </c>
      <c r="F749" s="12">
        <v>1</v>
      </c>
      <c r="G749" s="3" t="s">
        <v>0</v>
      </c>
      <c r="H749" s="5">
        <v>40543</v>
      </c>
      <c r="I749" s="5" t="s">
        <v>985</v>
      </c>
      <c r="J749" s="4" t="s">
        <v>1962</v>
      </c>
      <c r="K749" s="6" t="s">
        <v>2005</v>
      </c>
      <c r="L749" s="6" t="s">
        <v>871</v>
      </c>
      <c r="M749" s="81">
        <f t="shared" si="148"/>
        <v>26399.93</v>
      </c>
      <c r="N749" s="81">
        <f t="shared" si="147"/>
        <v>26399.93</v>
      </c>
      <c r="O749" s="81">
        <v>26399.93</v>
      </c>
      <c r="P749" s="72">
        <v>14630</v>
      </c>
      <c r="Q749" s="256">
        <f t="shared" si="145"/>
        <v>3218.6</v>
      </c>
      <c r="R749" s="256">
        <f t="shared" si="146"/>
        <v>17848.599999999999</v>
      </c>
      <c r="S749" s="296"/>
      <c r="T749" s="3">
        <v>34</v>
      </c>
      <c r="U749" s="305"/>
    </row>
    <row r="750" spans="1:21" ht="42" customHeight="1" x14ac:dyDescent="0.35">
      <c r="A750" s="218" t="s">
        <v>3043</v>
      </c>
      <c r="B750" s="3">
        <v>713</v>
      </c>
      <c r="C750" s="44">
        <v>10036743</v>
      </c>
      <c r="D750" s="18" t="s">
        <v>221</v>
      </c>
      <c r="E750" s="18" t="s">
        <v>2206</v>
      </c>
      <c r="F750" s="12">
        <v>1</v>
      </c>
      <c r="G750" s="3" t="s">
        <v>0</v>
      </c>
      <c r="H750" s="5">
        <v>41830</v>
      </c>
      <c r="I750" s="5" t="s">
        <v>2144</v>
      </c>
      <c r="J750" s="4" t="s">
        <v>1962</v>
      </c>
      <c r="K750" s="5" t="s">
        <v>988</v>
      </c>
      <c r="L750" s="6" t="s">
        <v>871</v>
      </c>
      <c r="M750" s="81">
        <f t="shared" ref="M750:M758" si="149">O750</f>
        <v>434.74</v>
      </c>
      <c r="N750" s="81">
        <f t="shared" si="147"/>
        <v>434.74</v>
      </c>
      <c r="O750" s="81">
        <v>434.74</v>
      </c>
      <c r="P750" s="72">
        <v>220</v>
      </c>
      <c r="Q750" s="256">
        <f t="shared" si="145"/>
        <v>48.4</v>
      </c>
      <c r="R750" s="256">
        <f t="shared" si="146"/>
        <v>268.39999999999998</v>
      </c>
      <c r="S750" s="296"/>
      <c r="T750" s="3">
        <v>34</v>
      </c>
      <c r="U750" s="305"/>
    </row>
    <row r="751" spans="1:21" ht="42" customHeight="1" x14ac:dyDescent="0.35">
      <c r="A751" s="218" t="s">
        <v>3044</v>
      </c>
      <c r="B751" s="3">
        <v>714</v>
      </c>
      <c r="C751" s="44">
        <v>10051760</v>
      </c>
      <c r="D751" s="18" t="s">
        <v>222</v>
      </c>
      <c r="E751" s="18" t="s">
        <v>2206</v>
      </c>
      <c r="F751" s="12">
        <v>1</v>
      </c>
      <c r="G751" s="3" t="s">
        <v>0</v>
      </c>
      <c r="H751" s="5">
        <v>41830</v>
      </c>
      <c r="I751" s="5" t="s">
        <v>2144</v>
      </c>
      <c r="J751" s="4" t="s">
        <v>1962</v>
      </c>
      <c r="K751" s="5" t="s">
        <v>988</v>
      </c>
      <c r="L751" s="6" t="s">
        <v>871</v>
      </c>
      <c r="M751" s="81">
        <f t="shared" si="149"/>
        <v>13658.4</v>
      </c>
      <c r="N751" s="81">
        <f t="shared" si="147"/>
        <v>13658.4</v>
      </c>
      <c r="O751" s="81">
        <v>13658.4</v>
      </c>
      <c r="P751" s="72">
        <v>6850</v>
      </c>
      <c r="Q751" s="256">
        <f t="shared" si="145"/>
        <v>1507</v>
      </c>
      <c r="R751" s="256">
        <f t="shared" si="146"/>
        <v>8357</v>
      </c>
      <c r="S751" s="296"/>
      <c r="T751" s="3">
        <v>34</v>
      </c>
      <c r="U751" s="305"/>
    </row>
    <row r="752" spans="1:21" ht="42" customHeight="1" x14ac:dyDescent="0.35">
      <c r="A752" s="218" t="s">
        <v>3045</v>
      </c>
      <c r="B752" s="3">
        <v>715</v>
      </c>
      <c r="C752" s="44">
        <v>102001505</v>
      </c>
      <c r="D752" s="18" t="s">
        <v>234</v>
      </c>
      <c r="E752" s="18" t="s">
        <v>2206</v>
      </c>
      <c r="F752" s="12">
        <v>1</v>
      </c>
      <c r="G752" s="3" t="s">
        <v>0</v>
      </c>
      <c r="H752" s="5">
        <v>42036</v>
      </c>
      <c r="I752" s="3" t="s">
        <v>2144</v>
      </c>
      <c r="J752" s="4" t="s">
        <v>1962</v>
      </c>
      <c r="K752" s="5" t="s">
        <v>988</v>
      </c>
      <c r="L752" s="6" t="s">
        <v>871</v>
      </c>
      <c r="M752" s="81">
        <f t="shared" si="149"/>
        <v>122717.18</v>
      </c>
      <c r="N752" s="81">
        <f t="shared" si="147"/>
        <v>122717.18</v>
      </c>
      <c r="O752" s="81">
        <v>122717.18</v>
      </c>
      <c r="P752" s="72">
        <v>58610</v>
      </c>
      <c r="Q752" s="256">
        <f t="shared" si="145"/>
        <v>12894.2</v>
      </c>
      <c r="R752" s="256">
        <f t="shared" si="146"/>
        <v>71504.2</v>
      </c>
      <c r="S752" s="296"/>
      <c r="T752" s="3">
        <v>34</v>
      </c>
      <c r="U752" s="305"/>
    </row>
    <row r="753" spans="1:21" ht="42" customHeight="1" x14ac:dyDescent="0.35">
      <c r="A753" s="218" t="s">
        <v>3046</v>
      </c>
      <c r="B753" s="3">
        <v>716</v>
      </c>
      <c r="C753" s="44">
        <v>10124340</v>
      </c>
      <c r="D753" s="18" t="s">
        <v>241</v>
      </c>
      <c r="E753" s="18" t="s">
        <v>2206</v>
      </c>
      <c r="F753" s="12">
        <v>2</v>
      </c>
      <c r="G753" s="3" t="s">
        <v>0</v>
      </c>
      <c r="H753" s="5">
        <v>42036</v>
      </c>
      <c r="I753" s="5" t="s">
        <v>2144</v>
      </c>
      <c r="J753" s="4" t="s">
        <v>1962</v>
      </c>
      <c r="K753" s="5" t="s">
        <v>988</v>
      </c>
      <c r="L753" s="6" t="s">
        <v>871</v>
      </c>
      <c r="M753" s="81">
        <f t="shared" si="149"/>
        <v>47772.57</v>
      </c>
      <c r="N753" s="81">
        <f t="shared" si="147"/>
        <v>23886.29</v>
      </c>
      <c r="O753" s="81">
        <v>47772.57</v>
      </c>
      <c r="P753" s="72">
        <v>22820</v>
      </c>
      <c r="Q753" s="256">
        <f t="shared" si="145"/>
        <v>5020.3999999999996</v>
      </c>
      <c r="R753" s="256">
        <f t="shared" si="146"/>
        <v>27840.400000000001</v>
      </c>
      <c r="S753" s="296"/>
      <c r="T753" s="3">
        <v>34</v>
      </c>
      <c r="U753" s="305"/>
    </row>
    <row r="754" spans="1:21" ht="42" customHeight="1" x14ac:dyDescent="0.35">
      <c r="A754" s="218" t="s">
        <v>3047</v>
      </c>
      <c r="B754" s="3">
        <v>717</v>
      </c>
      <c r="C754" s="57">
        <v>102001362</v>
      </c>
      <c r="D754" s="15" t="s">
        <v>556</v>
      </c>
      <c r="E754" s="18" t="s">
        <v>2206</v>
      </c>
      <c r="F754" s="12">
        <v>1</v>
      </c>
      <c r="G754" s="3" t="s">
        <v>0</v>
      </c>
      <c r="H754" s="5">
        <v>42036</v>
      </c>
      <c r="I754" s="30" t="s">
        <v>2144</v>
      </c>
      <c r="J754" s="4" t="s">
        <v>1962</v>
      </c>
      <c r="K754" s="14" t="s">
        <v>820</v>
      </c>
      <c r="L754" s="3" t="s">
        <v>871</v>
      </c>
      <c r="M754" s="72">
        <f t="shared" si="149"/>
        <v>458601.12</v>
      </c>
      <c r="N754" s="72">
        <f t="shared" si="147"/>
        <v>458601.12</v>
      </c>
      <c r="O754" s="72">
        <v>458601.12</v>
      </c>
      <c r="P754" s="72">
        <v>219040</v>
      </c>
      <c r="Q754" s="256">
        <f t="shared" si="145"/>
        <v>48188.800000000003</v>
      </c>
      <c r="R754" s="256">
        <f t="shared" si="146"/>
        <v>267228.79999999999</v>
      </c>
      <c r="S754" s="296"/>
      <c r="T754" s="3">
        <v>34</v>
      </c>
      <c r="U754" s="305"/>
    </row>
    <row r="755" spans="1:21" ht="41.25" customHeight="1" x14ac:dyDescent="0.35">
      <c r="A755" s="218" t="s">
        <v>3048</v>
      </c>
      <c r="B755" s="3">
        <v>718</v>
      </c>
      <c r="C755" s="18">
        <v>10145283</v>
      </c>
      <c r="D755" s="18" t="s">
        <v>230</v>
      </c>
      <c r="E755" s="18" t="s">
        <v>2206</v>
      </c>
      <c r="F755" s="59">
        <v>1</v>
      </c>
      <c r="G755" s="60" t="s">
        <v>0</v>
      </c>
      <c r="H755" s="52">
        <v>42036</v>
      </c>
      <c r="I755" s="3" t="s">
        <v>2144</v>
      </c>
      <c r="J755" s="4" t="s">
        <v>2193</v>
      </c>
      <c r="K755" s="4" t="s">
        <v>988</v>
      </c>
      <c r="L755" s="3" t="s">
        <v>871</v>
      </c>
      <c r="M755" s="72">
        <f t="shared" si="149"/>
        <v>41750</v>
      </c>
      <c r="N755" s="72">
        <f t="shared" si="147"/>
        <v>41750</v>
      </c>
      <c r="O755" s="72">
        <v>41750</v>
      </c>
      <c r="P755" s="72">
        <v>23320</v>
      </c>
      <c r="Q755" s="256">
        <f t="shared" si="145"/>
        <v>5130.3999999999996</v>
      </c>
      <c r="R755" s="256">
        <f t="shared" si="146"/>
        <v>28450.400000000001</v>
      </c>
      <c r="S755" s="296"/>
      <c r="T755" s="3">
        <v>34</v>
      </c>
      <c r="U755" s="305"/>
    </row>
    <row r="756" spans="1:21" ht="41.25" customHeight="1" x14ac:dyDescent="0.35">
      <c r="A756" s="218" t="s">
        <v>3049</v>
      </c>
      <c r="B756" s="3">
        <v>719</v>
      </c>
      <c r="C756" s="18">
        <v>10145285</v>
      </c>
      <c r="D756" s="18" t="s">
        <v>231</v>
      </c>
      <c r="E756" s="18" t="s">
        <v>2206</v>
      </c>
      <c r="F756" s="59">
        <v>1</v>
      </c>
      <c r="G756" s="60" t="s">
        <v>0</v>
      </c>
      <c r="H756" s="9">
        <v>42004</v>
      </c>
      <c r="I756" s="3" t="s">
        <v>2144</v>
      </c>
      <c r="J756" s="4" t="s">
        <v>2193</v>
      </c>
      <c r="K756" s="14" t="s">
        <v>841</v>
      </c>
      <c r="L756" s="3" t="s">
        <v>871</v>
      </c>
      <c r="M756" s="72">
        <f t="shared" si="149"/>
        <v>99600</v>
      </c>
      <c r="N756" s="72">
        <f t="shared" si="147"/>
        <v>99600</v>
      </c>
      <c r="O756" s="72">
        <v>99600</v>
      </c>
      <c r="P756" s="72">
        <v>49590</v>
      </c>
      <c r="Q756" s="256">
        <f t="shared" si="145"/>
        <v>10909.8</v>
      </c>
      <c r="R756" s="256">
        <f t="shared" si="146"/>
        <v>60499.8</v>
      </c>
      <c r="S756" s="296"/>
      <c r="T756" s="3">
        <v>34</v>
      </c>
      <c r="U756" s="305"/>
    </row>
    <row r="757" spans="1:21" ht="41.25" customHeight="1" x14ac:dyDescent="0.35">
      <c r="A757" s="218" t="s">
        <v>3050</v>
      </c>
      <c r="B757" s="3">
        <v>720</v>
      </c>
      <c r="C757" s="18">
        <v>10145248</v>
      </c>
      <c r="D757" s="18" t="s">
        <v>229</v>
      </c>
      <c r="E757" s="18" t="s">
        <v>2206</v>
      </c>
      <c r="F757" s="59">
        <v>1</v>
      </c>
      <c r="G757" s="60" t="s">
        <v>0</v>
      </c>
      <c r="H757" s="52">
        <v>42036</v>
      </c>
      <c r="I757" s="3" t="s">
        <v>2144</v>
      </c>
      <c r="J757" s="4" t="s">
        <v>2193</v>
      </c>
      <c r="K757" s="4" t="s">
        <v>988</v>
      </c>
      <c r="L757" s="3" t="s">
        <v>871</v>
      </c>
      <c r="M757" s="72">
        <f t="shared" si="149"/>
        <v>54850</v>
      </c>
      <c r="N757" s="72">
        <f t="shared" si="147"/>
        <v>54850</v>
      </c>
      <c r="O757" s="72">
        <v>54850</v>
      </c>
      <c r="P757" s="72">
        <v>26200</v>
      </c>
      <c r="Q757" s="256">
        <f t="shared" si="145"/>
        <v>5764</v>
      </c>
      <c r="R757" s="256">
        <f t="shared" si="146"/>
        <v>31964</v>
      </c>
      <c r="S757" s="296"/>
      <c r="T757" s="3">
        <v>34</v>
      </c>
      <c r="U757" s="305"/>
    </row>
    <row r="758" spans="1:21" ht="42.75" customHeight="1" x14ac:dyDescent="0.35">
      <c r="A758" s="218" t="s">
        <v>3051</v>
      </c>
      <c r="B758" s="3">
        <v>721</v>
      </c>
      <c r="C758" s="18">
        <v>10030295</v>
      </c>
      <c r="D758" s="18" t="s">
        <v>220</v>
      </c>
      <c r="E758" s="18" t="s">
        <v>2206</v>
      </c>
      <c r="F758" s="59">
        <v>1</v>
      </c>
      <c r="G758" s="60" t="s">
        <v>0</v>
      </c>
      <c r="H758" s="52">
        <v>42036</v>
      </c>
      <c r="I758" s="3" t="s">
        <v>2144</v>
      </c>
      <c r="J758" s="4" t="s">
        <v>1962</v>
      </c>
      <c r="K758" s="4" t="s">
        <v>988</v>
      </c>
      <c r="L758" s="3" t="s">
        <v>871</v>
      </c>
      <c r="M758" s="72">
        <f t="shared" si="149"/>
        <v>12580</v>
      </c>
      <c r="N758" s="72">
        <f t="shared" si="147"/>
        <v>12580</v>
      </c>
      <c r="O758" s="72">
        <v>12580</v>
      </c>
      <c r="P758" s="72">
        <v>6010</v>
      </c>
      <c r="Q758" s="256">
        <f t="shared" ref="Q758:Q782" si="150">R758-P758</f>
        <v>1322.2</v>
      </c>
      <c r="R758" s="256">
        <f t="shared" ref="R758:R782" si="151">P758*1.22</f>
        <v>7332.2</v>
      </c>
      <c r="S758" s="296"/>
      <c r="T758" s="3">
        <v>34</v>
      </c>
      <c r="U758" s="305"/>
    </row>
    <row r="759" spans="1:21" ht="42" customHeight="1" x14ac:dyDescent="0.35">
      <c r="A759" s="218" t="s">
        <v>3052</v>
      </c>
      <c r="B759" s="3">
        <v>722</v>
      </c>
      <c r="C759" s="44">
        <v>102001108</v>
      </c>
      <c r="D759" s="18" t="s">
        <v>328</v>
      </c>
      <c r="E759" s="18" t="s">
        <v>2201</v>
      </c>
      <c r="F759" s="12">
        <v>1</v>
      </c>
      <c r="G759" s="3" t="s">
        <v>0</v>
      </c>
      <c r="H759" s="49" t="s">
        <v>517</v>
      </c>
      <c r="I759" s="5" t="s">
        <v>999</v>
      </c>
      <c r="J759" s="4" t="s">
        <v>1962</v>
      </c>
      <c r="K759" s="5" t="s">
        <v>988</v>
      </c>
      <c r="L759" s="5" t="s">
        <v>871</v>
      </c>
      <c r="M759" s="72">
        <f t="shared" si="148"/>
        <v>26399.93</v>
      </c>
      <c r="N759" s="72">
        <f t="shared" si="147"/>
        <v>26399.93</v>
      </c>
      <c r="O759" s="72">
        <v>26399.93</v>
      </c>
      <c r="P759" s="72">
        <v>13150</v>
      </c>
      <c r="Q759" s="256">
        <f t="shared" si="150"/>
        <v>2893</v>
      </c>
      <c r="R759" s="256">
        <f t="shared" si="151"/>
        <v>16043</v>
      </c>
      <c r="S759" s="296"/>
      <c r="T759" s="3">
        <v>34</v>
      </c>
      <c r="U759" s="305"/>
    </row>
    <row r="760" spans="1:21" ht="30" customHeight="1" x14ac:dyDescent="0.35">
      <c r="A760" s="218" t="s">
        <v>3053</v>
      </c>
      <c r="B760" s="3">
        <v>723</v>
      </c>
      <c r="C760" s="44">
        <v>102000929</v>
      </c>
      <c r="D760" s="18" t="s">
        <v>362</v>
      </c>
      <c r="E760" s="18" t="s">
        <v>2201</v>
      </c>
      <c r="F760" s="12">
        <v>2</v>
      </c>
      <c r="G760" s="3" t="s">
        <v>0</v>
      </c>
      <c r="H760" s="49" t="s">
        <v>517</v>
      </c>
      <c r="I760" s="49" t="s">
        <v>999</v>
      </c>
      <c r="J760" s="4" t="s">
        <v>1962</v>
      </c>
      <c r="K760" s="5" t="s">
        <v>988</v>
      </c>
      <c r="L760" s="5" t="s">
        <v>871</v>
      </c>
      <c r="M760" s="72">
        <f t="shared" si="148"/>
        <v>78143</v>
      </c>
      <c r="N760" s="72">
        <f t="shared" ref="N760:N780" si="152">O760/F760</f>
        <v>39071.5</v>
      </c>
      <c r="O760" s="72">
        <v>78143</v>
      </c>
      <c r="P760" s="72">
        <v>38910</v>
      </c>
      <c r="Q760" s="256">
        <f t="shared" si="150"/>
        <v>8560.2000000000007</v>
      </c>
      <c r="R760" s="256">
        <f t="shared" si="151"/>
        <v>47470.2</v>
      </c>
      <c r="S760" s="296"/>
      <c r="T760" s="3">
        <v>34</v>
      </c>
      <c r="U760" s="305"/>
    </row>
    <row r="761" spans="1:21" ht="30" customHeight="1" x14ac:dyDescent="0.35">
      <c r="A761" s="218" t="s">
        <v>3054</v>
      </c>
      <c r="B761" s="3">
        <v>724</v>
      </c>
      <c r="C761" s="44">
        <v>102001010</v>
      </c>
      <c r="D761" s="18" t="s">
        <v>364</v>
      </c>
      <c r="E761" s="18" t="s">
        <v>2201</v>
      </c>
      <c r="F761" s="12">
        <v>2</v>
      </c>
      <c r="G761" s="3" t="s">
        <v>0</v>
      </c>
      <c r="H761" s="49" t="s">
        <v>517</v>
      </c>
      <c r="I761" s="5" t="s">
        <v>999</v>
      </c>
      <c r="J761" s="4" t="s">
        <v>1962</v>
      </c>
      <c r="K761" s="5" t="s">
        <v>988</v>
      </c>
      <c r="L761" s="5" t="s">
        <v>871</v>
      </c>
      <c r="M761" s="72">
        <f t="shared" si="148"/>
        <v>78143</v>
      </c>
      <c r="N761" s="72">
        <f t="shared" si="152"/>
        <v>39071.5</v>
      </c>
      <c r="O761" s="72">
        <v>78143</v>
      </c>
      <c r="P761" s="72">
        <v>38910</v>
      </c>
      <c r="Q761" s="256">
        <f t="shared" si="150"/>
        <v>8560.2000000000007</v>
      </c>
      <c r="R761" s="256">
        <f t="shared" si="151"/>
        <v>47470.2</v>
      </c>
      <c r="S761" s="296"/>
      <c r="T761" s="3">
        <v>34</v>
      </c>
      <c r="U761" s="305"/>
    </row>
    <row r="762" spans="1:21" ht="30" customHeight="1" x14ac:dyDescent="0.35">
      <c r="A762" s="218" t="s">
        <v>3055</v>
      </c>
      <c r="B762" s="3">
        <v>725</v>
      </c>
      <c r="C762" s="44">
        <v>102002013</v>
      </c>
      <c r="D762" s="18" t="s">
        <v>285</v>
      </c>
      <c r="E762" s="18" t="s">
        <v>2201</v>
      </c>
      <c r="F762" s="12">
        <v>1</v>
      </c>
      <c r="G762" s="3" t="s">
        <v>0</v>
      </c>
      <c r="H762" s="5">
        <v>39576</v>
      </c>
      <c r="I762" s="49" t="s">
        <v>999</v>
      </c>
      <c r="J762" s="4" t="s">
        <v>1962</v>
      </c>
      <c r="K762" s="5" t="s">
        <v>988</v>
      </c>
      <c r="L762" s="29" t="s">
        <v>2143</v>
      </c>
      <c r="M762" s="78">
        <f t="shared" si="148"/>
        <v>181039.6</v>
      </c>
      <c r="N762" s="78">
        <f t="shared" si="152"/>
        <v>181039.6</v>
      </c>
      <c r="O762" s="78">
        <v>181039.6</v>
      </c>
      <c r="P762" s="72">
        <v>113810</v>
      </c>
      <c r="Q762" s="256">
        <f t="shared" si="150"/>
        <v>25038.2</v>
      </c>
      <c r="R762" s="256">
        <f t="shared" si="151"/>
        <v>138848.20000000001</v>
      </c>
      <c r="S762" s="296"/>
      <c r="T762" s="3">
        <v>34</v>
      </c>
      <c r="U762" s="305"/>
    </row>
    <row r="763" spans="1:21" ht="26.5" customHeight="1" x14ac:dyDescent="0.35">
      <c r="A763" s="218" t="s">
        <v>3056</v>
      </c>
      <c r="B763" s="3">
        <v>726</v>
      </c>
      <c r="C763" s="44">
        <v>10015023</v>
      </c>
      <c r="D763" s="18" t="s">
        <v>152</v>
      </c>
      <c r="E763" s="48" t="s">
        <v>2200</v>
      </c>
      <c r="F763" s="12">
        <v>1</v>
      </c>
      <c r="G763" s="3" t="s">
        <v>0</v>
      </c>
      <c r="H763" s="5">
        <v>42004</v>
      </c>
      <c r="I763" s="13" t="s">
        <v>1963</v>
      </c>
      <c r="J763" s="4" t="s">
        <v>1962</v>
      </c>
      <c r="K763" s="4" t="s">
        <v>152</v>
      </c>
      <c r="L763" s="5" t="s">
        <v>871</v>
      </c>
      <c r="M763" s="72">
        <f t="shared" si="148"/>
        <v>3450</v>
      </c>
      <c r="N763" s="72">
        <f t="shared" si="152"/>
        <v>3450</v>
      </c>
      <c r="O763" s="72">
        <v>3450</v>
      </c>
      <c r="P763" s="72">
        <v>1720</v>
      </c>
      <c r="Q763" s="256">
        <f t="shared" si="150"/>
        <v>378.4</v>
      </c>
      <c r="R763" s="256">
        <f t="shared" si="151"/>
        <v>2098.4</v>
      </c>
      <c r="S763" s="296"/>
      <c r="T763" s="3">
        <v>34</v>
      </c>
      <c r="U763" s="305"/>
    </row>
    <row r="764" spans="1:21" ht="27" customHeight="1" x14ac:dyDescent="0.35">
      <c r="A764" s="218" t="s">
        <v>3057</v>
      </c>
      <c r="B764" s="3">
        <v>727</v>
      </c>
      <c r="C764" s="44">
        <v>102000847</v>
      </c>
      <c r="D764" s="18" t="s">
        <v>157</v>
      </c>
      <c r="E764" s="48" t="s">
        <v>2200</v>
      </c>
      <c r="F764" s="12">
        <v>1</v>
      </c>
      <c r="G764" s="3" t="s">
        <v>0</v>
      </c>
      <c r="H764" s="5">
        <v>42004</v>
      </c>
      <c r="I764" s="13" t="s">
        <v>1963</v>
      </c>
      <c r="J764" s="4" t="s">
        <v>1962</v>
      </c>
      <c r="K764" s="4" t="s">
        <v>157</v>
      </c>
      <c r="L764" s="5" t="s">
        <v>871</v>
      </c>
      <c r="M764" s="72">
        <f t="shared" si="148"/>
        <v>11254.23</v>
      </c>
      <c r="N764" s="72">
        <f t="shared" si="152"/>
        <v>11254.23</v>
      </c>
      <c r="O764" s="72">
        <v>11254.23</v>
      </c>
      <c r="P764" s="72">
        <v>5600</v>
      </c>
      <c r="Q764" s="256">
        <f t="shared" si="150"/>
        <v>1232</v>
      </c>
      <c r="R764" s="256">
        <f t="shared" si="151"/>
        <v>6832</v>
      </c>
      <c r="S764" s="296"/>
      <c r="T764" s="3">
        <v>34</v>
      </c>
      <c r="U764" s="305"/>
    </row>
    <row r="765" spans="1:21" ht="29.5" customHeight="1" x14ac:dyDescent="0.35">
      <c r="A765" s="218" t="s">
        <v>3058</v>
      </c>
      <c r="B765" s="3">
        <v>728</v>
      </c>
      <c r="C765" s="44">
        <v>102001066</v>
      </c>
      <c r="D765" s="18" t="s">
        <v>158</v>
      </c>
      <c r="E765" s="48" t="s">
        <v>2200</v>
      </c>
      <c r="F765" s="12">
        <v>1</v>
      </c>
      <c r="G765" s="3" t="s">
        <v>0</v>
      </c>
      <c r="H765" s="5">
        <v>42004</v>
      </c>
      <c r="I765" s="13" t="s">
        <v>1963</v>
      </c>
      <c r="J765" s="4" t="s">
        <v>1962</v>
      </c>
      <c r="K765" s="4" t="s">
        <v>158</v>
      </c>
      <c r="L765" s="5" t="s">
        <v>871</v>
      </c>
      <c r="M765" s="72">
        <f t="shared" si="148"/>
        <v>23500</v>
      </c>
      <c r="N765" s="72">
        <f t="shared" si="152"/>
        <v>23500</v>
      </c>
      <c r="O765" s="72">
        <v>23500</v>
      </c>
      <c r="P765" s="72">
        <v>11700</v>
      </c>
      <c r="Q765" s="256">
        <f t="shared" si="150"/>
        <v>2574</v>
      </c>
      <c r="R765" s="256">
        <f t="shared" si="151"/>
        <v>14274</v>
      </c>
      <c r="S765" s="296"/>
      <c r="T765" s="3">
        <v>34</v>
      </c>
      <c r="U765" s="305"/>
    </row>
    <row r="766" spans="1:21" ht="30" customHeight="1" x14ac:dyDescent="0.35">
      <c r="A766" s="218" t="s">
        <v>3059</v>
      </c>
      <c r="B766" s="3">
        <v>729</v>
      </c>
      <c r="C766" s="44">
        <v>102001524</v>
      </c>
      <c r="D766" s="18" t="s">
        <v>162</v>
      </c>
      <c r="E766" s="48" t="s">
        <v>2200</v>
      </c>
      <c r="F766" s="12">
        <v>1</v>
      </c>
      <c r="G766" s="3" t="s">
        <v>0</v>
      </c>
      <c r="H766" s="5">
        <v>42004</v>
      </c>
      <c r="I766" s="13" t="s">
        <v>1963</v>
      </c>
      <c r="J766" s="4" t="s">
        <v>1962</v>
      </c>
      <c r="K766" s="4" t="s">
        <v>162</v>
      </c>
      <c r="L766" s="5" t="s">
        <v>871</v>
      </c>
      <c r="M766" s="72">
        <f t="shared" si="148"/>
        <v>25121.599999999999</v>
      </c>
      <c r="N766" s="72">
        <f t="shared" si="152"/>
        <v>25121.599999999999</v>
      </c>
      <c r="O766" s="72">
        <v>25121.599999999999</v>
      </c>
      <c r="P766" s="72">
        <v>12510</v>
      </c>
      <c r="Q766" s="256">
        <f t="shared" si="150"/>
        <v>2752.2</v>
      </c>
      <c r="R766" s="256">
        <f t="shared" si="151"/>
        <v>15262.2</v>
      </c>
      <c r="S766" s="296"/>
      <c r="T766" s="3">
        <v>34</v>
      </c>
      <c r="U766" s="305"/>
    </row>
    <row r="767" spans="1:21" ht="30" customHeight="1" x14ac:dyDescent="0.35">
      <c r="A767" s="218" t="s">
        <v>3060</v>
      </c>
      <c r="B767" s="3">
        <v>730</v>
      </c>
      <c r="C767" s="44">
        <v>10036509</v>
      </c>
      <c r="D767" s="18" t="s">
        <v>164</v>
      </c>
      <c r="E767" s="105" t="s">
        <v>2200</v>
      </c>
      <c r="F767" s="12">
        <v>2</v>
      </c>
      <c r="G767" s="3" t="s">
        <v>0</v>
      </c>
      <c r="H767" s="5">
        <v>42004</v>
      </c>
      <c r="I767" s="13" t="s">
        <v>1963</v>
      </c>
      <c r="J767" s="4" t="s">
        <v>1962</v>
      </c>
      <c r="K767" s="4" t="s">
        <v>164</v>
      </c>
      <c r="L767" s="5" t="s">
        <v>871</v>
      </c>
      <c r="M767" s="72">
        <f t="shared" si="148"/>
        <v>5694.92</v>
      </c>
      <c r="N767" s="72">
        <f t="shared" si="152"/>
        <v>2847.46</v>
      </c>
      <c r="O767" s="72">
        <v>5694.92</v>
      </c>
      <c r="P767" s="72">
        <v>2840</v>
      </c>
      <c r="Q767" s="256">
        <f t="shared" si="150"/>
        <v>624.79999999999995</v>
      </c>
      <c r="R767" s="256">
        <f t="shared" si="151"/>
        <v>3464.8</v>
      </c>
      <c r="S767" s="296"/>
      <c r="T767" s="3">
        <v>34</v>
      </c>
      <c r="U767" s="305"/>
    </row>
    <row r="768" spans="1:21" ht="40" customHeight="1" x14ac:dyDescent="0.35">
      <c r="A768" s="218" t="s">
        <v>3061</v>
      </c>
      <c r="B768" s="3">
        <v>731</v>
      </c>
      <c r="C768" s="44">
        <v>10007079</v>
      </c>
      <c r="D768" s="18" t="s">
        <v>172</v>
      </c>
      <c r="E768" s="18" t="s">
        <v>4274</v>
      </c>
      <c r="F768" s="12">
        <v>1</v>
      </c>
      <c r="G768" s="3" t="s">
        <v>0</v>
      </c>
      <c r="H768" s="5">
        <v>42004</v>
      </c>
      <c r="I768" s="38" t="s">
        <v>985</v>
      </c>
      <c r="J768" s="4" t="s">
        <v>1962</v>
      </c>
      <c r="K768" s="6" t="s">
        <v>2008</v>
      </c>
      <c r="L768" s="6" t="s">
        <v>871</v>
      </c>
      <c r="M768" s="81">
        <f t="shared" si="148"/>
        <v>4105.78</v>
      </c>
      <c r="N768" s="81">
        <f t="shared" si="152"/>
        <v>4105.78</v>
      </c>
      <c r="O768" s="81">
        <v>4105.78</v>
      </c>
      <c r="P768" s="72">
        <v>2040</v>
      </c>
      <c r="Q768" s="256">
        <f t="shared" si="150"/>
        <v>448.8</v>
      </c>
      <c r="R768" s="256">
        <f t="shared" si="151"/>
        <v>2488.8000000000002</v>
      </c>
      <c r="S768" s="296"/>
      <c r="T768" s="3">
        <v>34</v>
      </c>
      <c r="U768" s="305"/>
    </row>
    <row r="769" spans="1:21" ht="30" customHeight="1" x14ac:dyDescent="0.35">
      <c r="A769" s="218" t="s">
        <v>3062</v>
      </c>
      <c r="B769" s="3">
        <v>732</v>
      </c>
      <c r="C769" s="44">
        <v>10039602</v>
      </c>
      <c r="D769" s="18" t="s">
        <v>175</v>
      </c>
      <c r="E769" s="18" t="s">
        <v>4274</v>
      </c>
      <c r="F769" s="12">
        <v>1</v>
      </c>
      <c r="G769" s="3" t="s">
        <v>0</v>
      </c>
      <c r="H769" s="5">
        <v>40543</v>
      </c>
      <c r="I769" s="38" t="s">
        <v>985</v>
      </c>
      <c r="J769" s="4" t="s">
        <v>1962</v>
      </c>
      <c r="K769" s="6" t="s">
        <v>175</v>
      </c>
      <c r="L769" s="6" t="s">
        <v>871</v>
      </c>
      <c r="M769" s="84">
        <f t="shared" si="148"/>
        <v>8510.7800000000007</v>
      </c>
      <c r="N769" s="84">
        <f t="shared" si="152"/>
        <v>8510.7800000000007</v>
      </c>
      <c r="O769" s="81">
        <v>8510.7800000000007</v>
      </c>
      <c r="P769" s="72">
        <v>4720</v>
      </c>
      <c r="Q769" s="256">
        <f t="shared" si="150"/>
        <v>1038.4000000000001</v>
      </c>
      <c r="R769" s="256">
        <f t="shared" si="151"/>
        <v>5758.4</v>
      </c>
      <c r="S769" s="296"/>
      <c r="T769" s="3">
        <v>34</v>
      </c>
      <c r="U769" s="305"/>
    </row>
    <row r="770" spans="1:21" ht="37.5" customHeight="1" x14ac:dyDescent="0.35">
      <c r="A770" s="218" t="s">
        <v>3063</v>
      </c>
      <c r="B770" s="3">
        <v>733</v>
      </c>
      <c r="C770" s="44">
        <v>10089936</v>
      </c>
      <c r="D770" s="18" t="s">
        <v>177</v>
      </c>
      <c r="E770" s="18" t="s">
        <v>4274</v>
      </c>
      <c r="F770" s="12">
        <v>1</v>
      </c>
      <c r="G770" s="3" t="s">
        <v>0</v>
      </c>
      <c r="H770" s="5">
        <v>42004</v>
      </c>
      <c r="I770" s="38" t="s">
        <v>985</v>
      </c>
      <c r="J770" s="4" t="s">
        <v>1962</v>
      </c>
      <c r="K770" s="6" t="s">
        <v>177</v>
      </c>
      <c r="L770" s="6" t="s">
        <v>871</v>
      </c>
      <c r="M770" s="81">
        <f t="shared" si="148"/>
        <v>4847.46</v>
      </c>
      <c r="N770" s="81">
        <f t="shared" si="152"/>
        <v>4847.46</v>
      </c>
      <c r="O770" s="81">
        <v>4847.46</v>
      </c>
      <c r="P770" s="72">
        <v>2410</v>
      </c>
      <c r="Q770" s="256">
        <f t="shared" si="150"/>
        <v>530.20000000000005</v>
      </c>
      <c r="R770" s="256">
        <f t="shared" si="151"/>
        <v>2940.2</v>
      </c>
      <c r="S770" s="296"/>
      <c r="T770" s="3">
        <v>34</v>
      </c>
      <c r="U770" s="305"/>
    </row>
    <row r="771" spans="1:21" ht="53.5" customHeight="1" x14ac:dyDescent="0.35">
      <c r="A771" s="218" t="s">
        <v>3064</v>
      </c>
      <c r="B771" s="3">
        <v>734</v>
      </c>
      <c r="C771" s="44">
        <v>10096465</v>
      </c>
      <c r="D771" s="18" t="s">
        <v>180</v>
      </c>
      <c r="E771" s="18" t="s">
        <v>4274</v>
      </c>
      <c r="F771" s="12">
        <v>1</v>
      </c>
      <c r="G771" s="3" t="s">
        <v>0</v>
      </c>
      <c r="H771" s="5">
        <v>40178</v>
      </c>
      <c r="I771" s="38" t="s">
        <v>985</v>
      </c>
      <c r="J771" s="4" t="s">
        <v>1962</v>
      </c>
      <c r="K771" s="6" t="s">
        <v>2009</v>
      </c>
      <c r="L771" s="6" t="s">
        <v>871</v>
      </c>
      <c r="M771" s="81">
        <f t="shared" si="148"/>
        <v>15914.97</v>
      </c>
      <c r="N771" s="81">
        <f t="shared" si="152"/>
        <v>15914.97</v>
      </c>
      <c r="O771" s="81">
        <v>15914.97</v>
      </c>
      <c r="P771" s="72">
        <v>9460</v>
      </c>
      <c r="Q771" s="256">
        <f t="shared" si="150"/>
        <v>2081.1999999999998</v>
      </c>
      <c r="R771" s="256">
        <f t="shared" si="151"/>
        <v>11541.2</v>
      </c>
      <c r="S771" s="296"/>
      <c r="T771" s="3">
        <v>34</v>
      </c>
      <c r="U771" s="305"/>
    </row>
    <row r="772" spans="1:21" ht="74.25" customHeight="1" x14ac:dyDescent="0.35">
      <c r="A772" s="218" t="s">
        <v>3065</v>
      </c>
      <c r="B772" s="3">
        <v>735</v>
      </c>
      <c r="C772" s="44">
        <v>10105813</v>
      </c>
      <c r="D772" s="18" t="s">
        <v>181</v>
      </c>
      <c r="E772" s="18" t="s">
        <v>4274</v>
      </c>
      <c r="F772" s="12">
        <v>1</v>
      </c>
      <c r="G772" s="3" t="s">
        <v>0</v>
      </c>
      <c r="H772" s="5">
        <v>42004</v>
      </c>
      <c r="I772" s="38" t="s">
        <v>985</v>
      </c>
      <c r="J772" s="4" t="s">
        <v>1962</v>
      </c>
      <c r="K772" s="6" t="s">
        <v>2010</v>
      </c>
      <c r="L772" s="6" t="s">
        <v>871</v>
      </c>
      <c r="M772" s="81">
        <f t="shared" si="148"/>
        <v>1599.03</v>
      </c>
      <c r="N772" s="81">
        <f t="shared" si="152"/>
        <v>1599.03</v>
      </c>
      <c r="O772" s="81">
        <v>1599.03</v>
      </c>
      <c r="P772" s="72">
        <v>800</v>
      </c>
      <c r="Q772" s="256">
        <f t="shared" si="150"/>
        <v>176</v>
      </c>
      <c r="R772" s="256">
        <f t="shared" si="151"/>
        <v>976</v>
      </c>
      <c r="S772" s="296"/>
      <c r="T772" s="3">
        <v>34</v>
      </c>
      <c r="U772" s="305"/>
    </row>
    <row r="773" spans="1:21" ht="45.65" customHeight="1" x14ac:dyDescent="0.35">
      <c r="A773" s="218" t="s">
        <v>3066</v>
      </c>
      <c r="B773" s="3">
        <v>736</v>
      </c>
      <c r="C773" s="44">
        <v>10108566</v>
      </c>
      <c r="D773" s="18" t="s">
        <v>183</v>
      </c>
      <c r="E773" s="18" t="s">
        <v>2231</v>
      </c>
      <c r="F773" s="12">
        <v>1</v>
      </c>
      <c r="G773" s="3" t="s">
        <v>0</v>
      </c>
      <c r="H773" s="5">
        <v>42004</v>
      </c>
      <c r="I773" s="38" t="s">
        <v>985</v>
      </c>
      <c r="J773" s="4" t="s">
        <v>1962</v>
      </c>
      <c r="K773" s="6" t="s">
        <v>2011</v>
      </c>
      <c r="L773" s="6" t="s">
        <v>871</v>
      </c>
      <c r="M773" s="81">
        <f t="shared" si="148"/>
        <v>17388.47</v>
      </c>
      <c r="N773" s="81">
        <f t="shared" si="152"/>
        <v>17388.47</v>
      </c>
      <c r="O773" s="81">
        <v>17388.47</v>
      </c>
      <c r="P773" s="72">
        <v>8660</v>
      </c>
      <c r="Q773" s="256">
        <f t="shared" si="150"/>
        <v>1905.2</v>
      </c>
      <c r="R773" s="256">
        <f t="shared" si="151"/>
        <v>10565.2</v>
      </c>
      <c r="S773" s="296"/>
      <c r="T773" s="3">
        <v>34</v>
      </c>
      <c r="U773" s="305"/>
    </row>
    <row r="774" spans="1:21" ht="50.15" customHeight="1" x14ac:dyDescent="0.35">
      <c r="A774" s="218" t="s">
        <v>3067</v>
      </c>
      <c r="B774" s="3">
        <v>737</v>
      </c>
      <c r="C774" s="44">
        <v>10108645</v>
      </c>
      <c r="D774" s="18" t="s">
        <v>184</v>
      </c>
      <c r="E774" s="18" t="s">
        <v>4274</v>
      </c>
      <c r="F774" s="12">
        <v>1</v>
      </c>
      <c r="G774" s="3" t="s">
        <v>0</v>
      </c>
      <c r="H774" s="5">
        <v>40543</v>
      </c>
      <c r="I774" s="38" t="s">
        <v>985</v>
      </c>
      <c r="J774" s="4" t="s">
        <v>1962</v>
      </c>
      <c r="K774" s="6" t="s">
        <v>2012</v>
      </c>
      <c r="L774" s="6" t="s">
        <v>871</v>
      </c>
      <c r="M774" s="81">
        <f t="shared" si="148"/>
        <v>14129.14</v>
      </c>
      <c r="N774" s="81">
        <f t="shared" si="152"/>
        <v>14129.14</v>
      </c>
      <c r="O774" s="81">
        <v>14129.14</v>
      </c>
      <c r="P774" s="72">
        <v>7830</v>
      </c>
      <c r="Q774" s="256">
        <f t="shared" si="150"/>
        <v>1722.6</v>
      </c>
      <c r="R774" s="256">
        <f t="shared" si="151"/>
        <v>9552.6</v>
      </c>
      <c r="S774" s="296"/>
      <c r="T774" s="3">
        <v>34</v>
      </c>
      <c r="U774" s="305"/>
    </row>
    <row r="775" spans="1:21" ht="60.65" customHeight="1" x14ac:dyDescent="0.35">
      <c r="A775" s="218" t="s">
        <v>3068</v>
      </c>
      <c r="B775" s="3">
        <v>738</v>
      </c>
      <c r="C775" s="44">
        <v>10109852</v>
      </c>
      <c r="D775" s="18" t="s">
        <v>185</v>
      </c>
      <c r="E775" s="18" t="s">
        <v>4279</v>
      </c>
      <c r="F775" s="12">
        <v>1</v>
      </c>
      <c r="G775" s="3" t="s">
        <v>0</v>
      </c>
      <c r="H775" s="5">
        <v>42004</v>
      </c>
      <c r="I775" s="38" t="s">
        <v>985</v>
      </c>
      <c r="J775" s="4" t="s">
        <v>1962</v>
      </c>
      <c r="K775" s="6" t="s">
        <v>2013</v>
      </c>
      <c r="L775" s="6" t="s">
        <v>871</v>
      </c>
      <c r="M775" s="81">
        <f t="shared" si="148"/>
        <v>15669.27</v>
      </c>
      <c r="N775" s="81">
        <f t="shared" si="152"/>
        <v>15669.27</v>
      </c>
      <c r="O775" s="81">
        <v>15669.27</v>
      </c>
      <c r="P775" s="72">
        <v>7800</v>
      </c>
      <c r="Q775" s="256">
        <f t="shared" si="150"/>
        <v>1716</v>
      </c>
      <c r="R775" s="256">
        <f t="shared" si="151"/>
        <v>9516</v>
      </c>
      <c r="S775" s="296"/>
      <c r="T775" s="3">
        <v>34</v>
      </c>
      <c r="U775" s="305"/>
    </row>
    <row r="776" spans="1:21" ht="57.65" customHeight="1" x14ac:dyDescent="0.35">
      <c r="A776" s="218" t="s">
        <v>3069</v>
      </c>
      <c r="B776" s="3">
        <v>739</v>
      </c>
      <c r="C776" s="44">
        <v>10109852</v>
      </c>
      <c r="D776" s="18" t="s">
        <v>185</v>
      </c>
      <c r="E776" s="18" t="s">
        <v>4274</v>
      </c>
      <c r="F776" s="12">
        <v>1</v>
      </c>
      <c r="G776" s="3" t="s">
        <v>0</v>
      </c>
      <c r="H776" s="5">
        <v>42004</v>
      </c>
      <c r="I776" s="38" t="s">
        <v>985</v>
      </c>
      <c r="J776" s="4" t="s">
        <v>1962</v>
      </c>
      <c r="K776" s="6" t="s">
        <v>2013</v>
      </c>
      <c r="L776" s="6" t="s">
        <v>871</v>
      </c>
      <c r="M776" s="81">
        <f t="shared" si="148"/>
        <v>15669.27</v>
      </c>
      <c r="N776" s="81">
        <f t="shared" si="152"/>
        <v>15669.27</v>
      </c>
      <c r="O776" s="81">
        <v>15669.27</v>
      </c>
      <c r="P776" s="72">
        <v>7800</v>
      </c>
      <c r="Q776" s="256">
        <f t="shared" si="150"/>
        <v>1716</v>
      </c>
      <c r="R776" s="256">
        <f t="shared" si="151"/>
        <v>9516</v>
      </c>
      <c r="S776" s="296"/>
      <c r="T776" s="3">
        <v>34</v>
      </c>
      <c r="U776" s="305"/>
    </row>
    <row r="777" spans="1:21" ht="40.5" customHeight="1" x14ac:dyDescent="0.35">
      <c r="A777" s="218" t="s">
        <v>3070</v>
      </c>
      <c r="B777" s="3">
        <v>740</v>
      </c>
      <c r="C777" s="44">
        <v>102000749</v>
      </c>
      <c r="D777" s="18" t="s">
        <v>187</v>
      </c>
      <c r="E777" s="18" t="s">
        <v>4274</v>
      </c>
      <c r="F777" s="12">
        <v>1</v>
      </c>
      <c r="G777" s="3" t="s">
        <v>0</v>
      </c>
      <c r="H777" s="5">
        <v>42004</v>
      </c>
      <c r="I777" s="38" t="s">
        <v>985</v>
      </c>
      <c r="J777" s="4" t="s">
        <v>1962</v>
      </c>
      <c r="K777" s="6" t="s">
        <v>2014</v>
      </c>
      <c r="L777" s="6" t="s">
        <v>871</v>
      </c>
      <c r="M777" s="81">
        <f t="shared" si="148"/>
        <v>58800</v>
      </c>
      <c r="N777" s="81">
        <f t="shared" si="152"/>
        <v>58800</v>
      </c>
      <c r="O777" s="81">
        <v>58800</v>
      </c>
      <c r="P777" s="72">
        <v>29280</v>
      </c>
      <c r="Q777" s="256">
        <f t="shared" si="150"/>
        <v>6441.6</v>
      </c>
      <c r="R777" s="256">
        <f t="shared" si="151"/>
        <v>35721.599999999999</v>
      </c>
      <c r="S777" s="296"/>
      <c r="T777" s="3">
        <v>34</v>
      </c>
      <c r="U777" s="305"/>
    </row>
    <row r="778" spans="1:21" ht="43.5" customHeight="1" x14ac:dyDescent="0.35">
      <c r="A778" s="218" t="s">
        <v>3071</v>
      </c>
      <c r="B778" s="3">
        <v>741</v>
      </c>
      <c r="C778" s="44">
        <v>10095063</v>
      </c>
      <c r="D778" s="18" t="s">
        <v>203</v>
      </c>
      <c r="E778" s="18" t="s">
        <v>4274</v>
      </c>
      <c r="F778" s="12">
        <v>2</v>
      </c>
      <c r="G778" s="3" t="s">
        <v>0</v>
      </c>
      <c r="H778" s="5">
        <v>40543</v>
      </c>
      <c r="I778" s="38" t="s">
        <v>985</v>
      </c>
      <c r="J778" s="4" t="s">
        <v>1962</v>
      </c>
      <c r="K778" s="6" t="s">
        <v>2015</v>
      </c>
      <c r="L778" s="6" t="s">
        <v>871</v>
      </c>
      <c r="M778" s="81">
        <f t="shared" si="148"/>
        <v>28391.9</v>
      </c>
      <c r="N778" s="81">
        <f t="shared" si="152"/>
        <v>14195.95</v>
      </c>
      <c r="O778" s="81">
        <v>28391.9</v>
      </c>
      <c r="P778" s="72">
        <v>15740</v>
      </c>
      <c r="Q778" s="256">
        <f t="shared" si="150"/>
        <v>3462.8</v>
      </c>
      <c r="R778" s="256">
        <f t="shared" si="151"/>
        <v>19202.8</v>
      </c>
      <c r="S778" s="296"/>
      <c r="T778" s="3">
        <v>34</v>
      </c>
      <c r="U778" s="305"/>
    </row>
    <row r="779" spans="1:21" ht="69.75" customHeight="1" x14ac:dyDescent="0.35">
      <c r="A779" s="218" t="s">
        <v>3072</v>
      </c>
      <c r="B779" s="3">
        <v>742</v>
      </c>
      <c r="C779" s="44">
        <v>10118646</v>
      </c>
      <c r="D779" s="18" t="s">
        <v>207</v>
      </c>
      <c r="E779" s="18" t="s">
        <v>4274</v>
      </c>
      <c r="F779" s="12">
        <v>2</v>
      </c>
      <c r="G779" s="3" t="s">
        <v>0</v>
      </c>
      <c r="H779" s="5">
        <v>42004</v>
      </c>
      <c r="I779" s="38" t="s">
        <v>985</v>
      </c>
      <c r="J779" s="4" t="s">
        <v>1962</v>
      </c>
      <c r="K779" s="6" t="s">
        <v>2017</v>
      </c>
      <c r="L779" s="6" t="s">
        <v>871</v>
      </c>
      <c r="M779" s="81">
        <f t="shared" si="148"/>
        <v>3160.58</v>
      </c>
      <c r="N779" s="81">
        <f t="shared" si="152"/>
        <v>1580.29</v>
      </c>
      <c r="O779" s="81">
        <v>3160.58</v>
      </c>
      <c r="P779" s="72">
        <v>1570</v>
      </c>
      <c r="Q779" s="256">
        <f t="shared" si="150"/>
        <v>345.4</v>
      </c>
      <c r="R779" s="256">
        <f t="shared" si="151"/>
        <v>1915.4</v>
      </c>
      <c r="S779" s="296"/>
      <c r="T779" s="3">
        <v>34</v>
      </c>
      <c r="U779" s="305"/>
    </row>
    <row r="780" spans="1:21" ht="77.25" customHeight="1" x14ac:dyDescent="0.35">
      <c r="A780" s="218" t="s">
        <v>3073</v>
      </c>
      <c r="B780" s="3">
        <v>743</v>
      </c>
      <c r="C780" s="44">
        <v>10118461</v>
      </c>
      <c r="D780" s="18" t="s">
        <v>215</v>
      </c>
      <c r="E780" s="18" t="s">
        <v>4274</v>
      </c>
      <c r="F780" s="12">
        <v>6</v>
      </c>
      <c r="G780" s="3" t="s">
        <v>0</v>
      </c>
      <c r="H780" s="5">
        <v>42004</v>
      </c>
      <c r="I780" s="38" t="s">
        <v>985</v>
      </c>
      <c r="J780" s="4" t="s">
        <v>1962</v>
      </c>
      <c r="K780" s="6" t="s">
        <v>2018</v>
      </c>
      <c r="L780" s="6" t="s">
        <v>871</v>
      </c>
      <c r="M780" s="81">
        <f t="shared" si="148"/>
        <v>9481.74</v>
      </c>
      <c r="N780" s="81">
        <f t="shared" si="152"/>
        <v>1580.29</v>
      </c>
      <c r="O780" s="81">
        <v>9481.74</v>
      </c>
      <c r="P780" s="72">
        <v>4720</v>
      </c>
      <c r="Q780" s="256">
        <f t="shared" si="150"/>
        <v>1038.4000000000001</v>
      </c>
      <c r="R780" s="256">
        <f t="shared" si="151"/>
        <v>5758.4</v>
      </c>
      <c r="S780" s="296"/>
      <c r="T780" s="3">
        <v>34</v>
      </c>
      <c r="U780" s="305"/>
    </row>
    <row r="781" spans="1:21" ht="59.25" customHeight="1" x14ac:dyDescent="0.35">
      <c r="A781" s="218" t="s">
        <v>4177</v>
      </c>
      <c r="B781" s="3">
        <v>744</v>
      </c>
      <c r="C781" s="44">
        <v>10136834</v>
      </c>
      <c r="D781" s="18" t="s">
        <v>312</v>
      </c>
      <c r="E781" s="18" t="s">
        <v>2197</v>
      </c>
      <c r="F781" s="12">
        <v>1</v>
      </c>
      <c r="G781" s="3" t="s">
        <v>0</v>
      </c>
      <c r="H781" s="49" t="s">
        <v>2195</v>
      </c>
      <c r="I781" s="3" t="s">
        <v>999</v>
      </c>
      <c r="J781" s="4" t="s">
        <v>1962</v>
      </c>
      <c r="K781" s="5" t="s">
        <v>988</v>
      </c>
      <c r="L781" s="5" t="s">
        <v>871</v>
      </c>
      <c r="M781" s="72">
        <f>O781</f>
        <v>49100</v>
      </c>
      <c r="N781" s="72">
        <f>O781/F781</f>
        <v>49100</v>
      </c>
      <c r="O781" s="72">
        <v>49100</v>
      </c>
      <c r="P781" s="72">
        <v>27430</v>
      </c>
      <c r="Q781" s="256">
        <f t="shared" si="150"/>
        <v>6034.6</v>
      </c>
      <c r="R781" s="256">
        <f t="shared" si="151"/>
        <v>33464.6</v>
      </c>
      <c r="S781" s="296"/>
      <c r="T781" s="3">
        <v>34</v>
      </c>
      <c r="U781" s="305"/>
    </row>
    <row r="782" spans="1:21" ht="59.25" customHeight="1" x14ac:dyDescent="0.35">
      <c r="A782" s="219" t="s">
        <v>4178</v>
      </c>
      <c r="B782" s="3">
        <v>745</v>
      </c>
      <c r="C782" s="44">
        <v>10145214</v>
      </c>
      <c r="D782" s="18" t="s">
        <v>278</v>
      </c>
      <c r="E782" s="18" t="s">
        <v>711</v>
      </c>
      <c r="F782" s="181">
        <v>1</v>
      </c>
      <c r="G782" s="95" t="s">
        <v>0</v>
      </c>
      <c r="H782" s="182" t="s">
        <v>2195</v>
      </c>
      <c r="I782" s="183" t="s">
        <v>1003</v>
      </c>
      <c r="J782" s="119" t="s">
        <v>1962</v>
      </c>
      <c r="K782" s="184" t="s">
        <v>988</v>
      </c>
      <c r="L782" s="185" t="s">
        <v>871</v>
      </c>
      <c r="M782" s="96">
        <f>O782</f>
        <v>59443.14</v>
      </c>
      <c r="N782" s="96">
        <f>O782/F782</f>
        <v>59443.14</v>
      </c>
      <c r="O782" s="96">
        <v>59443.14</v>
      </c>
      <c r="P782" s="72">
        <v>33200</v>
      </c>
      <c r="Q782" s="256">
        <f t="shared" si="150"/>
        <v>7304</v>
      </c>
      <c r="R782" s="256">
        <f t="shared" si="151"/>
        <v>40504</v>
      </c>
      <c r="S782" s="297"/>
      <c r="T782" s="3">
        <v>34</v>
      </c>
      <c r="U782" s="305"/>
    </row>
    <row r="783" spans="1:21" ht="15" customHeight="1" x14ac:dyDescent="0.35">
      <c r="A783" s="218"/>
      <c r="B783" s="94"/>
      <c r="C783" s="112"/>
      <c r="D783" s="106"/>
      <c r="E783" s="106"/>
      <c r="F783" s="12"/>
      <c r="G783" s="3"/>
      <c r="H783" s="5"/>
      <c r="I783" s="38"/>
      <c r="J783" s="4"/>
      <c r="K783" s="6"/>
      <c r="L783" s="6"/>
      <c r="M783" s="81"/>
      <c r="N783" s="81"/>
      <c r="O783" s="109">
        <f>SUM(O694:O782)</f>
        <v>6065052.1699999999</v>
      </c>
      <c r="P783" s="276">
        <f t="shared" ref="P783:Q783" si="153">SUM(P694:P782)</f>
        <v>3215110</v>
      </c>
      <c r="Q783" s="282">
        <f t="shared" si="153"/>
        <v>707324.2</v>
      </c>
      <c r="R783" s="282">
        <f>SUM(R694:R782)</f>
        <v>3922434.2</v>
      </c>
      <c r="S783" s="286">
        <f>R783/100*10</f>
        <v>392243.42</v>
      </c>
      <c r="T783" s="104">
        <v>34</v>
      </c>
      <c r="U783" s="305"/>
    </row>
    <row r="784" spans="1:21" ht="42.75" customHeight="1" x14ac:dyDescent="0.35">
      <c r="A784" s="218" t="s">
        <v>3074</v>
      </c>
      <c r="B784" s="3">
        <v>746</v>
      </c>
      <c r="C784" s="44">
        <v>10145248</v>
      </c>
      <c r="D784" s="18" t="s">
        <v>229</v>
      </c>
      <c r="E784" s="18" t="s">
        <v>2201</v>
      </c>
      <c r="F784" s="12">
        <v>1</v>
      </c>
      <c r="G784" s="3" t="s">
        <v>0</v>
      </c>
      <c r="H784" s="49">
        <v>2015</v>
      </c>
      <c r="I784" s="5" t="s">
        <v>999</v>
      </c>
      <c r="J784" s="4" t="s">
        <v>1962</v>
      </c>
      <c r="K784" s="5" t="s">
        <v>988</v>
      </c>
      <c r="L784" s="5" t="s">
        <v>871</v>
      </c>
      <c r="M784" s="72">
        <f t="shared" si="148"/>
        <v>54850</v>
      </c>
      <c r="N784" s="72">
        <f t="shared" ref="N784:N814" si="154">O784/F784</f>
        <v>54850</v>
      </c>
      <c r="O784" s="72">
        <v>54850</v>
      </c>
      <c r="P784" s="72">
        <v>26200</v>
      </c>
      <c r="Q784" s="256">
        <f t="shared" ref="Q784:Q815" si="155">R784-P784</f>
        <v>5764</v>
      </c>
      <c r="R784" s="256">
        <f t="shared" ref="R784:R815" si="156">P784*1.22</f>
        <v>31964</v>
      </c>
      <c r="S784" s="289"/>
      <c r="T784" s="3">
        <v>35</v>
      </c>
      <c r="U784" s="305" t="s">
        <v>2322</v>
      </c>
    </row>
    <row r="785" spans="1:21" ht="15" customHeight="1" x14ac:dyDescent="0.35">
      <c r="A785" s="218" t="s">
        <v>3075</v>
      </c>
      <c r="B785" s="3">
        <v>747</v>
      </c>
      <c r="C785" s="44">
        <v>10010499</v>
      </c>
      <c r="D785" s="18" t="s">
        <v>300</v>
      </c>
      <c r="E785" s="18" t="s">
        <v>2201</v>
      </c>
      <c r="F785" s="12">
        <v>1</v>
      </c>
      <c r="G785" s="3" t="s">
        <v>0</v>
      </c>
      <c r="H785" s="5">
        <v>42824</v>
      </c>
      <c r="I785" s="3" t="s">
        <v>999</v>
      </c>
      <c r="J785" s="4" t="s">
        <v>1962</v>
      </c>
      <c r="K785" s="5" t="s">
        <v>988</v>
      </c>
      <c r="L785" s="5" t="s">
        <v>871</v>
      </c>
      <c r="M785" s="72">
        <f t="shared" si="148"/>
        <v>7192.54</v>
      </c>
      <c r="N785" s="72">
        <f t="shared" si="154"/>
        <v>7192.54</v>
      </c>
      <c r="O785" s="72">
        <v>7192.54</v>
      </c>
      <c r="P785" s="72">
        <v>3100</v>
      </c>
      <c r="Q785" s="256">
        <f t="shared" si="155"/>
        <v>682</v>
      </c>
      <c r="R785" s="256">
        <f t="shared" si="156"/>
        <v>3782</v>
      </c>
      <c r="S785" s="296"/>
      <c r="T785" s="3">
        <v>35</v>
      </c>
      <c r="U785" s="305"/>
    </row>
    <row r="786" spans="1:21" ht="15" customHeight="1" x14ac:dyDescent="0.35">
      <c r="A786" s="218" t="s">
        <v>3076</v>
      </c>
      <c r="B786" s="3">
        <v>748</v>
      </c>
      <c r="C786" s="44">
        <v>102000960</v>
      </c>
      <c r="D786" s="18" t="s">
        <v>363</v>
      </c>
      <c r="E786" s="18" t="s">
        <v>2201</v>
      </c>
      <c r="F786" s="12">
        <v>2</v>
      </c>
      <c r="G786" s="3" t="s">
        <v>0</v>
      </c>
      <c r="H786" s="5">
        <v>42004</v>
      </c>
      <c r="I786" s="5" t="s">
        <v>999</v>
      </c>
      <c r="J786" s="4" t="s">
        <v>1962</v>
      </c>
      <c r="K786" s="5" t="s">
        <v>988</v>
      </c>
      <c r="L786" s="5" t="s">
        <v>871</v>
      </c>
      <c r="M786" s="72">
        <f t="shared" si="148"/>
        <v>5472</v>
      </c>
      <c r="N786" s="72">
        <f t="shared" si="154"/>
        <v>2736</v>
      </c>
      <c r="O786" s="72">
        <v>5472</v>
      </c>
      <c r="P786" s="72">
        <v>2720</v>
      </c>
      <c r="Q786" s="256">
        <f t="shared" si="155"/>
        <v>598.4</v>
      </c>
      <c r="R786" s="256">
        <f t="shared" si="156"/>
        <v>3318.4</v>
      </c>
      <c r="S786" s="296"/>
      <c r="T786" s="3">
        <v>35</v>
      </c>
      <c r="U786" s="305"/>
    </row>
    <row r="787" spans="1:21" ht="15" customHeight="1" x14ac:dyDescent="0.35">
      <c r="A787" s="218" t="s">
        <v>3077</v>
      </c>
      <c r="B787" s="3">
        <v>749</v>
      </c>
      <c r="C787" s="44">
        <v>10038905</v>
      </c>
      <c r="D787" s="18" t="s">
        <v>400</v>
      </c>
      <c r="E787" s="18" t="s">
        <v>2201</v>
      </c>
      <c r="F787" s="12">
        <v>12</v>
      </c>
      <c r="G787" s="3" t="s">
        <v>0</v>
      </c>
      <c r="H787" s="5">
        <v>42824</v>
      </c>
      <c r="I787" s="5" t="s">
        <v>999</v>
      </c>
      <c r="J787" s="4" t="s">
        <v>1962</v>
      </c>
      <c r="K787" s="5" t="s">
        <v>988</v>
      </c>
      <c r="L787" s="5" t="s">
        <v>871</v>
      </c>
      <c r="M787" s="72">
        <f t="shared" si="148"/>
        <v>20348.16</v>
      </c>
      <c r="N787" s="72">
        <f t="shared" si="154"/>
        <v>1695.68</v>
      </c>
      <c r="O787" s="72">
        <v>20348.16</v>
      </c>
      <c r="P787" s="72">
        <v>8780</v>
      </c>
      <c r="Q787" s="256">
        <f t="shared" si="155"/>
        <v>1931.6</v>
      </c>
      <c r="R787" s="256">
        <f t="shared" si="156"/>
        <v>10711.6</v>
      </c>
      <c r="S787" s="296"/>
      <c r="T787" s="3">
        <v>35</v>
      </c>
      <c r="U787" s="305"/>
    </row>
    <row r="788" spans="1:21" ht="18" customHeight="1" x14ac:dyDescent="0.35">
      <c r="A788" s="218" t="s">
        <v>3078</v>
      </c>
      <c r="B788" s="3">
        <v>750</v>
      </c>
      <c r="C788" s="44">
        <v>102001141</v>
      </c>
      <c r="D788" s="18" t="s">
        <v>159</v>
      </c>
      <c r="E788" s="48" t="s">
        <v>2200</v>
      </c>
      <c r="F788" s="12">
        <v>1</v>
      </c>
      <c r="G788" s="3" t="s">
        <v>0</v>
      </c>
      <c r="H788" s="5">
        <v>42004</v>
      </c>
      <c r="I788" s="5" t="s">
        <v>1963</v>
      </c>
      <c r="J788" s="4" t="s">
        <v>1962</v>
      </c>
      <c r="K788" s="4" t="s">
        <v>159</v>
      </c>
      <c r="L788" s="5" t="s">
        <v>871</v>
      </c>
      <c r="M788" s="72">
        <f t="shared" si="148"/>
        <v>47564.65</v>
      </c>
      <c r="N788" s="72">
        <f t="shared" si="154"/>
        <v>47564.65</v>
      </c>
      <c r="O788" s="72">
        <v>47564.65</v>
      </c>
      <c r="P788" s="72">
        <v>23680</v>
      </c>
      <c r="Q788" s="256">
        <f t="shared" si="155"/>
        <v>5209.6000000000004</v>
      </c>
      <c r="R788" s="256">
        <f t="shared" si="156"/>
        <v>28889.599999999999</v>
      </c>
      <c r="S788" s="296"/>
      <c r="T788" s="3">
        <v>35</v>
      </c>
      <c r="U788" s="305"/>
    </row>
    <row r="789" spans="1:21" ht="25" customHeight="1" x14ac:dyDescent="0.35">
      <c r="A789" s="218" t="s">
        <v>3079</v>
      </c>
      <c r="B789" s="3">
        <v>751</v>
      </c>
      <c r="C789" s="44">
        <v>10030295</v>
      </c>
      <c r="D789" s="18" t="s">
        <v>220</v>
      </c>
      <c r="E789" s="19" t="s">
        <v>2028</v>
      </c>
      <c r="F789" s="12">
        <v>1</v>
      </c>
      <c r="G789" s="3" t="s">
        <v>0</v>
      </c>
      <c r="H789" s="5">
        <v>38539</v>
      </c>
      <c r="I789" s="5" t="s">
        <v>998</v>
      </c>
      <c r="J789" s="4" t="s">
        <v>1962</v>
      </c>
      <c r="K789" s="6" t="s">
        <v>220</v>
      </c>
      <c r="L789" s="6" t="s">
        <v>871</v>
      </c>
      <c r="M789" s="81">
        <f t="shared" si="148"/>
        <v>11170.87</v>
      </c>
      <c r="N789" s="81">
        <f t="shared" si="154"/>
        <v>11170.87</v>
      </c>
      <c r="O789" s="81">
        <v>11170.87</v>
      </c>
      <c r="P789" s="72">
        <v>5340</v>
      </c>
      <c r="Q789" s="256">
        <f t="shared" si="155"/>
        <v>1174.8</v>
      </c>
      <c r="R789" s="256">
        <f t="shared" si="156"/>
        <v>6514.8</v>
      </c>
      <c r="S789" s="296"/>
      <c r="T789" s="3">
        <v>35</v>
      </c>
      <c r="U789" s="305"/>
    </row>
    <row r="790" spans="1:21" ht="30" customHeight="1" x14ac:dyDescent="0.35">
      <c r="A790" s="218" t="s">
        <v>3080</v>
      </c>
      <c r="B790" s="3">
        <v>752</v>
      </c>
      <c r="C790" s="44">
        <v>10002896</v>
      </c>
      <c r="D790" s="18" t="s">
        <v>259</v>
      </c>
      <c r="E790" s="19" t="s">
        <v>2028</v>
      </c>
      <c r="F790" s="12">
        <v>1</v>
      </c>
      <c r="G790" s="3" t="s">
        <v>0</v>
      </c>
      <c r="H790" s="49">
        <v>2014</v>
      </c>
      <c r="I790" s="5" t="s">
        <v>998</v>
      </c>
      <c r="J790" s="4" t="s">
        <v>1962</v>
      </c>
      <c r="K790" s="35" t="s">
        <v>259</v>
      </c>
      <c r="L790" s="6" t="s">
        <v>871</v>
      </c>
      <c r="M790" s="81">
        <f t="shared" si="148"/>
        <v>4434.91</v>
      </c>
      <c r="N790" s="81">
        <f t="shared" si="154"/>
        <v>4434.91</v>
      </c>
      <c r="O790" s="81">
        <v>4434.91</v>
      </c>
      <c r="P790" s="72">
        <v>2220</v>
      </c>
      <c r="Q790" s="256">
        <f t="shared" si="155"/>
        <v>488.4</v>
      </c>
      <c r="R790" s="256">
        <f t="shared" si="156"/>
        <v>2708.4</v>
      </c>
      <c r="S790" s="296"/>
      <c r="T790" s="3">
        <v>35</v>
      </c>
      <c r="U790" s="305"/>
    </row>
    <row r="791" spans="1:21" ht="15" customHeight="1" x14ac:dyDescent="0.35">
      <c r="A791" s="218" t="s">
        <v>3081</v>
      </c>
      <c r="B791" s="3">
        <v>753</v>
      </c>
      <c r="C791" s="44">
        <v>10050438</v>
      </c>
      <c r="D791" s="18" t="s">
        <v>260</v>
      </c>
      <c r="E791" s="19" t="s">
        <v>2028</v>
      </c>
      <c r="F791" s="12">
        <v>1</v>
      </c>
      <c r="G791" s="3" t="s">
        <v>0</v>
      </c>
      <c r="H791" s="49">
        <v>2014</v>
      </c>
      <c r="I791" s="5" t="s">
        <v>998</v>
      </c>
      <c r="J791" s="4" t="s">
        <v>1962</v>
      </c>
      <c r="K791" s="35" t="s">
        <v>260</v>
      </c>
      <c r="L791" s="6" t="s">
        <v>871</v>
      </c>
      <c r="M791" s="81">
        <f t="shared" si="148"/>
        <v>17614.02</v>
      </c>
      <c r="N791" s="81">
        <f t="shared" si="154"/>
        <v>17614.02</v>
      </c>
      <c r="O791" s="81">
        <v>17614.02</v>
      </c>
      <c r="P791" s="72">
        <v>8830</v>
      </c>
      <c r="Q791" s="256">
        <f t="shared" si="155"/>
        <v>1942.6</v>
      </c>
      <c r="R791" s="256">
        <f t="shared" si="156"/>
        <v>10772.6</v>
      </c>
      <c r="S791" s="296"/>
      <c r="T791" s="3">
        <v>35</v>
      </c>
      <c r="U791" s="305"/>
    </row>
    <row r="792" spans="1:21" ht="15" customHeight="1" x14ac:dyDescent="0.35">
      <c r="A792" s="218" t="s">
        <v>3082</v>
      </c>
      <c r="B792" s="3">
        <v>754</v>
      </c>
      <c r="C792" s="44">
        <v>10088460</v>
      </c>
      <c r="D792" s="18" t="s">
        <v>261</v>
      </c>
      <c r="E792" s="19" t="s">
        <v>2028</v>
      </c>
      <c r="F792" s="12">
        <v>1</v>
      </c>
      <c r="G792" s="3" t="s">
        <v>0</v>
      </c>
      <c r="H792" s="49">
        <v>2014</v>
      </c>
      <c r="I792" s="5" t="s">
        <v>998</v>
      </c>
      <c r="J792" s="4" t="s">
        <v>1962</v>
      </c>
      <c r="K792" s="35" t="s">
        <v>261</v>
      </c>
      <c r="L792" s="6" t="s">
        <v>871</v>
      </c>
      <c r="M792" s="81">
        <f t="shared" si="148"/>
        <v>1288.5</v>
      </c>
      <c r="N792" s="81">
        <f t="shared" si="154"/>
        <v>1288.5</v>
      </c>
      <c r="O792" s="81">
        <v>1288.5</v>
      </c>
      <c r="P792" s="72">
        <v>650</v>
      </c>
      <c r="Q792" s="256">
        <f t="shared" si="155"/>
        <v>143</v>
      </c>
      <c r="R792" s="256">
        <f t="shared" si="156"/>
        <v>793</v>
      </c>
      <c r="S792" s="296"/>
      <c r="T792" s="3">
        <v>35</v>
      </c>
      <c r="U792" s="305"/>
    </row>
    <row r="793" spans="1:21" ht="30" customHeight="1" x14ac:dyDescent="0.35">
      <c r="A793" s="218" t="s">
        <v>3083</v>
      </c>
      <c r="B793" s="3">
        <v>755</v>
      </c>
      <c r="C793" s="44">
        <v>10106282</v>
      </c>
      <c r="D793" s="18" t="s">
        <v>262</v>
      </c>
      <c r="E793" s="19" t="s">
        <v>2028</v>
      </c>
      <c r="F793" s="12">
        <v>1</v>
      </c>
      <c r="G793" s="3" t="s">
        <v>0</v>
      </c>
      <c r="H793" s="49">
        <v>2014</v>
      </c>
      <c r="I793" s="5" t="s">
        <v>998</v>
      </c>
      <c r="J793" s="4" t="s">
        <v>1962</v>
      </c>
      <c r="K793" s="35" t="s">
        <v>262</v>
      </c>
      <c r="L793" s="6" t="s">
        <v>871</v>
      </c>
      <c r="M793" s="81">
        <f t="shared" si="148"/>
        <v>1461.86</v>
      </c>
      <c r="N793" s="81">
        <f t="shared" si="154"/>
        <v>1461.86</v>
      </c>
      <c r="O793" s="81">
        <v>1461.86</v>
      </c>
      <c r="P793" s="72">
        <v>730</v>
      </c>
      <c r="Q793" s="256">
        <f t="shared" si="155"/>
        <v>160.6</v>
      </c>
      <c r="R793" s="256">
        <f t="shared" si="156"/>
        <v>890.6</v>
      </c>
      <c r="S793" s="296"/>
      <c r="T793" s="3">
        <v>35</v>
      </c>
      <c r="U793" s="305"/>
    </row>
    <row r="794" spans="1:21" ht="30" customHeight="1" x14ac:dyDescent="0.35">
      <c r="A794" s="218" t="s">
        <v>3084</v>
      </c>
      <c r="B794" s="3">
        <v>756</v>
      </c>
      <c r="C794" s="44">
        <v>10124230</v>
      </c>
      <c r="D794" s="18" t="s">
        <v>265</v>
      </c>
      <c r="E794" s="19" t="s">
        <v>2028</v>
      </c>
      <c r="F794" s="12">
        <v>1</v>
      </c>
      <c r="G794" s="3" t="s">
        <v>0</v>
      </c>
      <c r="H794" s="49">
        <v>2014</v>
      </c>
      <c r="I794" s="5" t="s">
        <v>998</v>
      </c>
      <c r="J794" s="4" t="s">
        <v>1962</v>
      </c>
      <c r="K794" s="35" t="s">
        <v>265</v>
      </c>
      <c r="L794" s="6" t="s">
        <v>871</v>
      </c>
      <c r="M794" s="81">
        <f t="shared" si="148"/>
        <v>25800</v>
      </c>
      <c r="N794" s="81">
        <f t="shared" si="154"/>
        <v>25800</v>
      </c>
      <c r="O794" s="81">
        <v>25800</v>
      </c>
      <c r="P794" s="72">
        <v>12940</v>
      </c>
      <c r="Q794" s="256">
        <f t="shared" si="155"/>
        <v>2846.8</v>
      </c>
      <c r="R794" s="256">
        <f t="shared" si="156"/>
        <v>15786.8</v>
      </c>
      <c r="S794" s="296"/>
      <c r="T794" s="3">
        <v>35</v>
      </c>
      <c r="U794" s="305"/>
    </row>
    <row r="795" spans="1:21" ht="30.75" customHeight="1" x14ac:dyDescent="0.35">
      <c r="A795" s="218" t="s">
        <v>3085</v>
      </c>
      <c r="B795" s="3">
        <v>757</v>
      </c>
      <c r="C795" s="44">
        <v>10131233</v>
      </c>
      <c r="D795" s="18" t="s">
        <v>266</v>
      </c>
      <c r="E795" s="19" t="s">
        <v>2028</v>
      </c>
      <c r="F795" s="12">
        <v>1</v>
      </c>
      <c r="G795" s="3" t="s">
        <v>0</v>
      </c>
      <c r="H795" s="49">
        <v>2014</v>
      </c>
      <c r="I795" s="5" t="s">
        <v>998</v>
      </c>
      <c r="J795" s="4" t="s">
        <v>1962</v>
      </c>
      <c r="K795" s="35" t="s">
        <v>266</v>
      </c>
      <c r="L795" s="6" t="s">
        <v>871</v>
      </c>
      <c r="M795" s="81">
        <f t="shared" si="148"/>
        <v>3470.25</v>
      </c>
      <c r="N795" s="81">
        <f t="shared" si="154"/>
        <v>3470.25</v>
      </c>
      <c r="O795" s="81">
        <v>3470.25</v>
      </c>
      <c r="P795" s="72">
        <v>1740</v>
      </c>
      <c r="Q795" s="256">
        <f t="shared" si="155"/>
        <v>382.8</v>
      </c>
      <c r="R795" s="256">
        <f t="shared" si="156"/>
        <v>2122.8000000000002</v>
      </c>
      <c r="S795" s="296"/>
      <c r="T795" s="3">
        <v>35</v>
      </c>
      <c r="U795" s="305"/>
    </row>
    <row r="796" spans="1:21" ht="30" customHeight="1" x14ac:dyDescent="0.35">
      <c r="A796" s="218" t="s">
        <v>3086</v>
      </c>
      <c r="B796" s="3">
        <v>758</v>
      </c>
      <c r="C796" s="44">
        <v>102000584</v>
      </c>
      <c r="D796" s="18" t="s">
        <v>268</v>
      </c>
      <c r="E796" s="19" t="s">
        <v>2028</v>
      </c>
      <c r="F796" s="12">
        <v>1</v>
      </c>
      <c r="G796" s="3" t="s">
        <v>0</v>
      </c>
      <c r="H796" s="49">
        <v>2014</v>
      </c>
      <c r="I796" s="5" t="s">
        <v>998</v>
      </c>
      <c r="J796" s="4" t="s">
        <v>1962</v>
      </c>
      <c r="K796" s="35" t="s">
        <v>268</v>
      </c>
      <c r="L796" s="6" t="s">
        <v>871</v>
      </c>
      <c r="M796" s="81">
        <f t="shared" si="148"/>
        <v>64867.78</v>
      </c>
      <c r="N796" s="81">
        <f t="shared" si="154"/>
        <v>64867.78</v>
      </c>
      <c r="O796" s="81">
        <v>64867.78</v>
      </c>
      <c r="P796" s="72">
        <v>32520</v>
      </c>
      <c r="Q796" s="256">
        <f t="shared" si="155"/>
        <v>7154.4</v>
      </c>
      <c r="R796" s="256">
        <f t="shared" si="156"/>
        <v>39674.400000000001</v>
      </c>
      <c r="S796" s="296"/>
      <c r="T796" s="3">
        <v>35</v>
      </c>
      <c r="U796" s="305"/>
    </row>
    <row r="797" spans="1:21" ht="60" customHeight="1" x14ac:dyDescent="0.35">
      <c r="A797" s="218" t="s">
        <v>3087</v>
      </c>
      <c r="B797" s="3">
        <v>759</v>
      </c>
      <c r="C797" s="44">
        <v>10105925</v>
      </c>
      <c r="D797" s="18" t="s">
        <v>272</v>
      </c>
      <c r="E797" s="19" t="s">
        <v>2028</v>
      </c>
      <c r="F797" s="12">
        <v>3</v>
      </c>
      <c r="G797" s="3" t="s">
        <v>0</v>
      </c>
      <c r="H797" s="49">
        <v>2014</v>
      </c>
      <c r="I797" s="5" t="s">
        <v>998</v>
      </c>
      <c r="J797" s="49" t="s">
        <v>986</v>
      </c>
      <c r="K797" s="35" t="s">
        <v>272</v>
      </c>
      <c r="L797" s="6" t="s">
        <v>871</v>
      </c>
      <c r="M797" s="81">
        <f t="shared" si="148"/>
        <v>17324.97</v>
      </c>
      <c r="N797" s="81">
        <f t="shared" si="154"/>
        <v>5774.99</v>
      </c>
      <c r="O797" s="81">
        <v>17324.97</v>
      </c>
      <c r="P797" s="72">
        <v>8690</v>
      </c>
      <c r="Q797" s="256">
        <f t="shared" si="155"/>
        <v>1911.8</v>
      </c>
      <c r="R797" s="256">
        <f t="shared" si="156"/>
        <v>10601.8</v>
      </c>
      <c r="S797" s="296"/>
      <c r="T797" s="3">
        <v>35</v>
      </c>
      <c r="U797" s="305"/>
    </row>
    <row r="798" spans="1:21" ht="45" customHeight="1" x14ac:dyDescent="0.35">
      <c r="A798" s="218" t="s">
        <v>3088</v>
      </c>
      <c r="B798" s="3">
        <v>760</v>
      </c>
      <c r="C798" s="44">
        <v>10090267</v>
      </c>
      <c r="D798" s="18" t="s">
        <v>83</v>
      </c>
      <c r="E798" s="19" t="s">
        <v>2028</v>
      </c>
      <c r="F798" s="12">
        <v>9</v>
      </c>
      <c r="G798" s="3" t="s">
        <v>0</v>
      </c>
      <c r="H798" s="5">
        <v>42004</v>
      </c>
      <c r="I798" s="5" t="s">
        <v>998</v>
      </c>
      <c r="J798" s="5" t="s">
        <v>2279</v>
      </c>
      <c r="K798" s="6" t="s">
        <v>83</v>
      </c>
      <c r="L798" s="6" t="s">
        <v>871</v>
      </c>
      <c r="M798" s="81">
        <f t="shared" si="148"/>
        <v>38279.99</v>
      </c>
      <c r="N798" s="81">
        <f t="shared" si="154"/>
        <v>4253.33</v>
      </c>
      <c r="O798" s="81">
        <v>38279.99</v>
      </c>
      <c r="P798" s="72">
        <v>19060</v>
      </c>
      <c r="Q798" s="256">
        <f t="shared" si="155"/>
        <v>4193.2</v>
      </c>
      <c r="R798" s="256">
        <f t="shared" si="156"/>
        <v>23253.200000000001</v>
      </c>
      <c r="S798" s="296"/>
      <c r="T798" s="3">
        <v>35</v>
      </c>
      <c r="U798" s="305"/>
    </row>
    <row r="799" spans="1:21" ht="60" customHeight="1" x14ac:dyDescent="0.35">
      <c r="A799" s="218" t="s">
        <v>3089</v>
      </c>
      <c r="B799" s="3">
        <v>761</v>
      </c>
      <c r="C799" s="44">
        <v>10131131</v>
      </c>
      <c r="D799" s="18" t="s">
        <v>275</v>
      </c>
      <c r="E799" s="19" t="s">
        <v>2028</v>
      </c>
      <c r="F799" s="12">
        <v>5</v>
      </c>
      <c r="G799" s="3" t="s">
        <v>0</v>
      </c>
      <c r="H799" s="3">
        <v>2014</v>
      </c>
      <c r="I799" s="5" t="s">
        <v>998</v>
      </c>
      <c r="J799" s="5" t="s">
        <v>986</v>
      </c>
      <c r="K799" s="6" t="s">
        <v>275</v>
      </c>
      <c r="L799" s="6" t="s">
        <v>871</v>
      </c>
      <c r="M799" s="81">
        <f t="shared" ref="M799:M854" si="157">O799</f>
        <v>12695.8</v>
      </c>
      <c r="N799" s="81">
        <f t="shared" si="154"/>
        <v>2539.16</v>
      </c>
      <c r="O799" s="81">
        <v>12695.8</v>
      </c>
      <c r="P799" s="72">
        <v>6370</v>
      </c>
      <c r="Q799" s="256">
        <f t="shared" si="155"/>
        <v>1401.4</v>
      </c>
      <c r="R799" s="256">
        <f t="shared" si="156"/>
        <v>7771.4</v>
      </c>
      <c r="S799" s="296"/>
      <c r="T799" s="3">
        <v>35</v>
      </c>
      <c r="U799" s="305"/>
    </row>
    <row r="800" spans="1:21" ht="36.75" customHeight="1" x14ac:dyDescent="0.35">
      <c r="A800" s="218" t="s">
        <v>3090</v>
      </c>
      <c r="B800" s="3">
        <v>762</v>
      </c>
      <c r="C800" s="45">
        <v>10108564</v>
      </c>
      <c r="D800" s="2" t="s">
        <v>273</v>
      </c>
      <c r="E800" s="19" t="s">
        <v>2028</v>
      </c>
      <c r="F800" s="12">
        <v>4</v>
      </c>
      <c r="G800" s="3" t="s">
        <v>0</v>
      </c>
      <c r="H800" s="3">
        <v>2016</v>
      </c>
      <c r="I800" s="13" t="s">
        <v>998</v>
      </c>
      <c r="J800" s="4" t="s">
        <v>1962</v>
      </c>
      <c r="K800" s="14" t="s">
        <v>273</v>
      </c>
      <c r="L800" s="6" t="s">
        <v>871</v>
      </c>
      <c r="M800" s="81">
        <f t="shared" si="157"/>
        <v>153096.32000000001</v>
      </c>
      <c r="N800" s="81">
        <f t="shared" si="154"/>
        <v>38274.080000000002</v>
      </c>
      <c r="O800" s="81">
        <v>153096.32000000001</v>
      </c>
      <c r="P800" s="72">
        <v>67170</v>
      </c>
      <c r="Q800" s="256">
        <f t="shared" si="155"/>
        <v>14777.4</v>
      </c>
      <c r="R800" s="256">
        <f t="shared" si="156"/>
        <v>81947.399999999994</v>
      </c>
      <c r="S800" s="296"/>
      <c r="T800" s="3">
        <v>35</v>
      </c>
      <c r="U800" s="305"/>
    </row>
    <row r="801" spans="1:21" ht="45" customHeight="1" x14ac:dyDescent="0.35">
      <c r="A801" s="218" t="s">
        <v>3091</v>
      </c>
      <c r="B801" s="3">
        <v>763</v>
      </c>
      <c r="C801" s="45">
        <v>10108565</v>
      </c>
      <c r="D801" s="2" t="s">
        <v>264</v>
      </c>
      <c r="E801" s="19" t="s">
        <v>2028</v>
      </c>
      <c r="F801" s="12">
        <v>1</v>
      </c>
      <c r="G801" s="3" t="s">
        <v>0</v>
      </c>
      <c r="H801" s="3">
        <v>2016</v>
      </c>
      <c r="I801" s="13" t="s">
        <v>998</v>
      </c>
      <c r="J801" s="4" t="s">
        <v>1962</v>
      </c>
      <c r="K801" s="14" t="s">
        <v>264</v>
      </c>
      <c r="L801" s="6" t="s">
        <v>871</v>
      </c>
      <c r="M801" s="81">
        <f t="shared" si="157"/>
        <v>41914.949999999997</v>
      </c>
      <c r="N801" s="81">
        <f t="shared" si="154"/>
        <v>41914.949999999997</v>
      </c>
      <c r="O801" s="81">
        <v>41914.949999999997</v>
      </c>
      <c r="P801" s="72">
        <v>18390</v>
      </c>
      <c r="Q801" s="256">
        <f t="shared" si="155"/>
        <v>4045.8</v>
      </c>
      <c r="R801" s="256">
        <f t="shared" si="156"/>
        <v>22435.8</v>
      </c>
      <c r="S801" s="296"/>
      <c r="T801" s="3">
        <v>35</v>
      </c>
      <c r="U801" s="305"/>
    </row>
    <row r="802" spans="1:21" ht="44.25" customHeight="1" x14ac:dyDescent="0.35">
      <c r="A802" s="218" t="s">
        <v>3092</v>
      </c>
      <c r="B802" s="3">
        <v>764</v>
      </c>
      <c r="C802" s="45">
        <v>10145223</v>
      </c>
      <c r="D802" s="2" t="s">
        <v>267</v>
      </c>
      <c r="E802" s="19" t="s">
        <v>2028</v>
      </c>
      <c r="F802" s="12">
        <v>1</v>
      </c>
      <c r="G802" s="3" t="s">
        <v>0</v>
      </c>
      <c r="H802" s="5">
        <v>42004</v>
      </c>
      <c r="I802" s="13" t="s">
        <v>998</v>
      </c>
      <c r="J802" s="4" t="s">
        <v>1962</v>
      </c>
      <c r="K802" s="14" t="s">
        <v>267</v>
      </c>
      <c r="L802" s="6" t="s">
        <v>871</v>
      </c>
      <c r="M802" s="81">
        <f t="shared" si="157"/>
        <v>169900</v>
      </c>
      <c r="N802" s="81">
        <f t="shared" si="154"/>
        <v>169900</v>
      </c>
      <c r="O802" s="81">
        <v>169900</v>
      </c>
      <c r="P802" s="72">
        <v>84600</v>
      </c>
      <c r="Q802" s="256">
        <f t="shared" si="155"/>
        <v>18612</v>
      </c>
      <c r="R802" s="256">
        <f t="shared" si="156"/>
        <v>103212</v>
      </c>
      <c r="S802" s="296"/>
      <c r="T802" s="3">
        <v>35</v>
      </c>
      <c r="U802" s="305"/>
    </row>
    <row r="803" spans="1:21" ht="48" customHeight="1" x14ac:dyDescent="0.35">
      <c r="A803" s="218" t="s">
        <v>3093</v>
      </c>
      <c r="B803" s="3">
        <v>765</v>
      </c>
      <c r="C803" s="45">
        <v>10145264</v>
      </c>
      <c r="D803" s="2" t="s">
        <v>270</v>
      </c>
      <c r="E803" s="19" t="s">
        <v>2028</v>
      </c>
      <c r="F803" s="12">
        <v>2</v>
      </c>
      <c r="G803" s="3" t="s">
        <v>0</v>
      </c>
      <c r="H803" s="3">
        <v>2014</v>
      </c>
      <c r="I803" s="13" t="s">
        <v>998</v>
      </c>
      <c r="J803" s="4" t="s">
        <v>1962</v>
      </c>
      <c r="K803" s="14" t="s">
        <v>270</v>
      </c>
      <c r="L803" s="6" t="s">
        <v>871</v>
      </c>
      <c r="M803" s="81">
        <f t="shared" si="157"/>
        <v>24800</v>
      </c>
      <c r="N803" s="81">
        <f t="shared" si="154"/>
        <v>12400</v>
      </c>
      <c r="O803" s="81">
        <v>24800</v>
      </c>
      <c r="P803" s="72">
        <v>12430</v>
      </c>
      <c r="Q803" s="256">
        <f t="shared" si="155"/>
        <v>2734.6</v>
      </c>
      <c r="R803" s="256">
        <f t="shared" si="156"/>
        <v>15164.6</v>
      </c>
      <c r="S803" s="296"/>
      <c r="T803" s="3">
        <v>35</v>
      </c>
      <c r="U803" s="305"/>
    </row>
    <row r="804" spans="1:21" ht="30" customHeight="1" x14ac:dyDescent="0.35">
      <c r="A804" s="218" t="s">
        <v>3094</v>
      </c>
      <c r="B804" s="3">
        <v>766</v>
      </c>
      <c r="C804" s="45">
        <v>10127605</v>
      </c>
      <c r="D804" s="2" t="s">
        <v>269</v>
      </c>
      <c r="E804" s="19" t="s">
        <v>2028</v>
      </c>
      <c r="F804" s="12">
        <v>2</v>
      </c>
      <c r="G804" s="3" t="s">
        <v>0</v>
      </c>
      <c r="H804" s="5">
        <v>42004</v>
      </c>
      <c r="I804" s="13" t="s">
        <v>998</v>
      </c>
      <c r="J804" s="4" t="s">
        <v>1962</v>
      </c>
      <c r="K804" s="14" t="s">
        <v>269</v>
      </c>
      <c r="L804" s="6" t="s">
        <v>871</v>
      </c>
      <c r="M804" s="81">
        <f t="shared" si="157"/>
        <v>71978.789999999994</v>
      </c>
      <c r="N804" s="81">
        <f t="shared" si="154"/>
        <v>35989.4</v>
      </c>
      <c r="O804" s="81">
        <v>71978.789999999994</v>
      </c>
      <c r="P804" s="72">
        <v>35840</v>
      </c>
      <c r="Q804" s="256">
        <f t="shared" si="155"/>
        <v>7884.8</v>
      </c>
      <c r="R804" s="256">
        <f t="shared" si="156"/>
        <v>43724.800000000003</v>
      </c>
      <c r="S804" s="296"/>
      <c r="T804" s="3">
        <v>35</v>
      </c>
      <c r="U804" s="305"/>
    </row>
    <row r="805" spans="1:21" ht="46.5" customHeight="1" x14ac:dyDescent="0.35">
      <c r="A805" s="218" t="s">
        <v>3095</v>
      </c>
      <c r="B805" s="3">
        <v>767</v>
      </c>
      <c r="C805" s="45">
        <v>10124228</v>
      </c>
      <c r="D805" s="2" t="s">
        <v>646</v>
      </c>
      <c r="E805" s="19" t="s">
        <v>2028</v>
      </c>
      <c r="F805" s="12">
        <v>1</v>
      </c>
      <c r="G805" s="3" t="s">
        <v>0</v>
      </c>
      <c r="H805" s="3">
        <v>2014</v>
      </c>
      <c r="I805" s="13" t="s">
        <v>998</v>
      </c>
      <c r="J805" s="4" t="s">
        <v>1962</v>
      </c>
      <c r="K805" s="14" t="s">
        <v>646</v>
      </c>
      <c r="L805" s="6" t="s">
        <v>871</v>
      </c>
      <c r="M805" s="81">
        <f t="shared" si="157"/>
        <v>27552</v>
      </c>
      <c r="N805" s="81">
        <f t="shared" si="154"/>
        <v>27552</v>
      </c>
      <c r="O805" s="81">
        <v>27552</v>
      </c>
      <c r="P805" s="72">
        <v>13810</v>
      </c>
      <c r="Q805" s="256">
        <f t="shared" si="155"/>
        <v>3038.2</v>
      </c>
      <c r="R805" s="256">
        <f t="shared" si="156"/>
        <v>16848.2</v>
      </c>
      <c r="S805" s="296"/>
      <c r="T805" s="3">
        <v>35</v>
      </c>
      <c r="U805" s="305"/>
    </row>
    <row r="806" spans="1:21" ht="45.75" customHeight="1" x14ac:dyDescent="0.35">
      <c r="A806" s="218" t="s">
        <v>3096</v>
      </c>
      <c r="B806" s="3">
        <v>768</v>
      </c>
      <c r="C806" s="45">
        <v>102001450</v>
      </c>
      <c r="D806" s="2" t="s">
        <v>637</v>
      </c>
      <c r="E806" s="19" t="s">
        <v>2028</v>
      </c>
      <c r="F806" s="12">
        <v>1</v>
      </c>
      <c r="G806" s="3" t="s">
        <v>0</v>
      </c>
      <c r="H806" s="3">
        <v>2014</v>
      </c>
      <c r="I806" s="13" t="s">
        <v>998</v>
      </c>
      <c r="J806" s="4" t="s">
        <v>1962</v>
      </c>
      <c r="K806" s="14" t="s">
        <v>637</v>
      </c>
      <c r="L806" s="6" t="s">
        <v>871</v>
      </c>
      <c r="M806" s="84">
        <f t="shared" si="157"/>
        <v>51979.199999999997</v>
      </c>
      <c r="N806" s="84">
        <f t="shared" si="154"/>
        <v>51979.199999999997</v>
      </c>
      <c r="O806" s="81">
        <v>51979.199999999997</v>
      </c>
      <c r="P806" s="72">
        <v>26060</v>
      </c>
      <c r="Q806" s="256">
        <f t="shared" si="155"/>
        <v>5733.2</v>
      </c>
      <c r="R806" s="256">
        <f t="shared" si="156"/>
        <v>31793.200000000001</v>
      </c>
      <c r="S806" s="296"/>
      <c r="T806" s="3">
        <v>35</v>
      </c>
      <c r="U806" s="305"/>
    </row>
    <row r="807" spans="1:21" ht="30" customHeight="1" x14ac:dyDescent="0.35">
      <c r="A807" s="218" t="s">
        <v>3097</v>
      </c>
      <c r="B807" s="3">
        <v>769</v>
      </c>
      <c r="C807" s="45">
        <v>10018626</v>
      </c>
      <c r="D807" s="2" t="s">
        <v>557</v>
      </c>
      <c r="E807" s="18" t="s">
        <v>2236</v>
      </c>
      <c r="F807" s="12">
        <v>1</v>
      </c>
      <c r="G807" s="3" t="s">
        <v>0</v>
      </c>
      <c r="H807" s="5">
        <v>42004</v>
      </c>
      <c r="I807" s="30" t="s">
        <v>1003</v>
      </c>
      <c r="J807" s="4" t="s">
        <v>1962</v>
      </c>
      <c r="K807" s="14" t="s">
        <v>727</v>
      </c>
      <c r="L807" s="3" t="s">
        <v>871</v>
      </c>
      <c r="M807" s="72">
        <f t="shared" si="157"/>
        <v>1068.58</v>
      </c>
      <c r="N807" s="72">
        <f t="shared" si="154"/>
        <v>1068.58</v>
      </c>
      <c r="O807" s="72">
        <v>1068.58</v>
      </c>
      <c r="P807" s="72">
        <v>530</v>
      </c>
      <c r="Q807" s="256">
        <f t="shared" si="155"/>
        <v>116.6</v>
      </c>
      <c r="R807" s="256">
        <f t="shared" si="156"/>
        <v>646.6</v>
      </c>
      <c r="S807" s="296"/>
      <c r="T807" s="3">
        <v>35</v>
      </c>
      <c r="U807" s="305"/>
    </row>
    <row r="808" spans="1:21" ht="15" customHeight="1" x14ac:dyDescent="0.35">
      <c r="A808" s="218" t="s">
        <v>3098</v>
      </c>
      <c r="B808" s="3">
        <v>770</v>
      </c>
      <c r="C808" s="45">
        <v>10018627</v>
      </c>
      <c r="D808" s="2" t="s">
        <v>558</v>
      </c>
      <c r="E808" s="18" t="s">
        <v>2236</v>
      </c>
      <c r="F808" s="12">
        <v>1</v>
      </c>
      <c r="G808" s="3" t="s">
        <v>0</v>
      </c>
      <c r="H808" s="5">
        <v>42004</v>
      </c>
      <c r="I808" s="30" t="s">
        <v>1003</v>
      </c>
      <c r="J808" s="4" t="s">
        <v>1962</v>
      </c>
      <c r="K808" s="14" t="s">
        <v>728</v>
      </c>
      <c r="L808" s="3" t="s">
        <v>871</v>
      </c>
      <c r="M808" s="72">
        <f t="shared" si="157"/>
        <v>2787.64</v>
      </c>
      <c r="N808" s="72">
        <f t="shared" si="154"/>
        <v>2787.64</v>
      </c>
      <c r="O808" s="72">
        <v>2787.64</v>
      </c>
      <c r="P808" s="72">
        <v>1390</v>
      </c>
      <c r="Q808" s="256">
        <f t="shared" si="155"/>
        <v>305.8</v>
      </c>
      <c r="R808" s="256">
        <f t="shared" si="156"/>
        <v>1695.8</v>
      </c>
      <c r="S808" s="296"/>
      <c r="T808" s="3">
        <v>35</v>
      </c>
      <c r="U808" s="305"/>
    </row>
    <row r="809" spans="1:21" ht="15" customHeight="1" x14ac:dyDescent="0.35">
      <c r="A809" s="218" t="s">
        <v>3099</v>
      </c>
      <c r="B809" s="3">
        <v>771</v>
      </c>
      <c r="C809" s="45">
        <v>10094504</v>
      </c>
      <c r="D809" s="2" t="s">
        <v>559</v>
      </c>
      <c r="E809" s="18" t="s">
        <v>2236</v>
      </c>
      <c r="F809" s="7">
        <v>2</v>
      </c>
      <c r="G809" s="3" t="s">
        <v>0</v>
      </c>
      <c r="H809" s="5">
        <v>42004</v>
      </c>
      <c r="I809" s="30" t="s">
        <v>1003</v>
      </c>
      <c r="J809" s="4" t="s">
        <v>1962</v>
      </c>
      <c r="K809" s="14" t="s">
        <v>729</v>
      </c>
      <c r="L809" s="3" t="s">
        <v>871</v>
      </c>
      <c r="M809" s="72">
        <f t="shared" si="157"/>
        <v>15844.1</v>
      </c>
      <c r="N809" s="72">
        <f t="shared" si="154"/>
        <v>7922.05</v>
      </c>
      <c r="O809" s="72">
        <v>15844.1</v>
      </c>
      <c r="P809" s="72">
        <v>7890</v>
      </c>
      <c r="Q809" s="256">
        <f t="shared" si="155"/>
        <v>1735.8</v>
      </c>
      <c r="R809" s="256">
        <f t="shared" si="156"/>
        <v>9625.7999999999993</v>
      </c>
      <c r="S809" s="296"/>
      <c r="T809" s="3">
        <v>35</v>
      </c>
      <c r="U809" s="305"/>
    </row>
    <row r="810" spans="1:21" ht="30" customHeight="1" x14ac:dyDescent="0.35">
      <c r="A810" s="218" t="s">
        <v>3100</v>
      </c>
      <c r="B810" s="3">
        <v>772</v>
      </c>
      <c r="C810" s="45">
        <v>10104861</v>
      </c>
      <c r="D810" s="2" t="s">
        <v>561</v>
      </c>
      <c r="E810" s="18" t="s">
        <v>2236</v>
      </c>
      <c r="F810" s="12">
        <v>1</v>
      </c>
      <c r="G810" s="3" t="s">
        <v>0</v>
      </c>
      <c r="H810" s="5">
        <v>42004</v>
      </c>
      <c r="I810" s="30" t="s">
        <v>1003</v>
      </c>
      <c r="J810" s="4" t="s">
        <v>1962</v>
      </c>
      <c r="K810" s="14" t="s">
        <v>730</v>
      </c>
      <c r="L810" s="3" t="s">
        <v>871</v>
      </c>
      <c r="M810" s="72">
        <f t="shared" si="157"/>
        <v>10225.64</v>
      </c>
      <c r="N810" s="72">
        <f t="shared" si="154"/>
        <v>10225.64</v>
      </c>
      <c r="O810" s="72">
        <v>10225.64</v>
      </c>
      <c r="P810" s="72">
        <v>5090</v>
      </c>
      <c r="Q810" s="256">
        <f t="shared" si="155"/>
        <v>1119.8</v>
      </c>
      <c r="R810" s="256">
        <f t="shared" si="156"/>
        <v>6209.8</v>
      </c>
      <c r="S810" s="296"/>
      <c r="T810" s="3">
        <v>35</v>
      </c>
      <c r="U810" s="305"/>
    </row>
    <row r="811" spans="1:21" ht="15" customHeight="1" x14ac:dyDescent="0.35">
      <c r="A811" s="218" t="s">
        <v>3101</v>
      </c>
      <c r="B811" s="3">
        <v>773</v>
      </c>
      <c r="C811" s="45">
        <v>102000958</v>
      </c>
      <c r="D811" s="15" t="s">
        <v>562</v>
      </c>
      <c r="E811" s="18" t="s">
        <v>2236</v>
      </c>
      <c r="F811" s="12">
        <v>1</v>
      </c>
      <c r="G811" s="3" t="s">
        <v>0</v>
      </c>
      <c r="H811" s="5">
        <v>42004</v>
      </c>
      <c r="I811" s="30" t="s">
        <v>1003</v>
      </c>
      <c r="J811" s="4" t="s">
        <v>1962</v>
      </c>
      <c r="K811" s="14" t="s">
        <v>731</v>
      </c>
      <c r="L811" s="3" t="s">
        <v>871</v>
      </c>
      <c r="M811" s="72">
        <f t="shared" si="157"/>
        <v>24027.53</v>
      </c>
      <c r="N811" s="72">
        <f t="shared" si="154"/>
        <v>24027.53</v>
      </c>
      <c r="O811" s="72">
        <v>24027.53</v>
      </c>
      <c r="P811" s="72">
        <v>11960</v>
      </c>
      <c r="Q811" s="256">
        <f t="shared" si="155"/>
        <v>2631.2</v>
      </c>
      <c r="R811" s="256">
        <f t="shared" si="156"/>
        <v>14591.2</v>
      </c>
      <c r="S811" s="296"/>
      <c r="T811" s="3">
        <v>35</v>
      </c>
      <c r="U811" s="305"/>
    </row>
    <row r="812" spans="1:21" ht="15" customHeight="1" x14ac:dyDescent="0.35">
      <c r="A812" s="218" t="s">
        <v>3102</v>
      </c>
      <c r="B812" s="3">
        <v>774</v>
      </c>
      <c r="C812" s="45">
        <v>102001376</v>
      </c>
      <c r="D812" s="15" t="s">
        <v>563</v>
      </c>
      <c r="E812" s="18" t="s">
        <v>2236</v>
      </c>
      <c r="F812" s="12">
        <v>1</v>
      </c>
      <c r="G812" s="3" t="s">
        <v>0</v>
      </c>
      <c r="H812" s="5">
        <v>42004</v>
      </c>
      <c r="I812" s="30" t="s">
        <v>1003</v>
      </c>
      <c r="J812" s="4" t="s">
        <v>1962</v>
      </c>
      <c r="K812" s="14" t="s">
        <v>732</v>
      </c>
      <c r="L812" s="3" t="s">
        <v>871</v>
      </c>
      <c r="M812" s="72">
        <f t="shared" si="157"/>
        <v>25563.85</v>
      </c>
      <c r="N812" s="72">
        <f t="shared" si="154"/>
        <v>25563.85</v>
      </c>
      <c r="O812" s="72">
        <v>25563.85</v>
      </c>
      <c r="P812" s="72">
        <v>12730</v>
      </c>
      <c r="Q812" s="256">
        <f t="shared" si="155"/>
        <v>2800.6</v>
      </c>
      <c r="R812" s="256">
        <f t="shared" si="156"/>
        <v>15530.6</v>
      </c>
      <c r="S812" s="296"/>
      <c r="T812" s="3">
        <v>35</v>
      </c>
      <c r="U812" s="305"/>
    </row>
    <row r="813" spans="1:21" ht="15" customHeight="1" x14ac:dyDescent="0.35">
      <c r="A813" s="218" t="s">
        <v>3103</v>
      </c>
      <c r="B813" s="3">
        <v>775</v>
      </c>
      <c r="C813" s="45">
        <v>10104853</v>
      </c>
      <c r="D813" s="2" t="s">
        <v>564</v>
      </c>
      <c r="E813" s="18" t="s">
        <v>2236</v>
      </c>
      <c r="F813" s="12">
        <v>1</v>
      </c>
      <c r="G813" s="3" t="s">
        <v>0</v>
      </c>
      <c r="H813" s="5">
        <v>42004</v>
      </c>
      <c r="I813" s="30" t="s">
        <v>1003</v>
      </c>
      <c r="J813" s="4" t="s">
        <v>1962</v>
      </c>
      <c r="K813" s="14" t="s">
        <v>572</v>
      </c>
      <c r="L813" s="3" t="s">
        <v>871</v>
      </c>
      <c r="M813" s="72">
        <f t="shared" si="157"/>
        <v>9460.86</v>
      </c>
      <c r="N813" s="72">
        <f t="shared" si="154"/>
        <v>9460.86</v>
      </c>
      <c r="O813" s="72">
        <v>9460.86</v>
      </c>
      <c r="P813" s="72">
        <v>4710</v>
      </c>
      <c r="Q813" s="256">
        <f t="shared" si="155"/>
        <v>1036.2</v>
      </c>
      <c r="R813" s="256">
        <f t="shared" si="156"/>
        <v>5746.2</v>
      </c>
      <c r="S813" s="296"/>
      <c r="T813" s="3">
        <v>35</v>
      </c>
      <c r="U813" s="305"/>
    </row>
    <row r="814" spans="1:21" ht="15" customHeight="1" x14ac:dyDescent="0.35">
      <c r="A814" s="218" t="s">
        <v>3104</v>
      </c>
      <c r="B814" s="3">
        <v>776</v>
      </c>
      <c r="C814" s="45">
        <v>102000877</v>
      </c>
      <c r="D814" s="15" t="s">
        <v>565</v>
      </c>
      <c r="E814" s="18" t="s">
        <v>2236</v>
      </c>
      <c r="F814" s="7">
        <v>2</v>
      </c>
      <c r="G814" s="3" t="s">
        <v>0</v>
      </c>
      <c r="H814" s="5">
        <v>42004</v>
      </c>
      <c r="I814" s="30" t="s">
        <v>1003</v>
      </c>
      <c r="J814" s="4" t="s">
        <v>1962</v>
      </c>
      <c r="K814" s="14" t="s">
        <v>733</v>
      </c>
      <c r="L814" s="3" t="s">
        <v>871</v>
      </c>
      <c r="M814" s="72">
        <f t="shared" si="157"/>
        <v>47773.47</v>
      </c>
      <c r="N814" s="72">
        <f t="shared" si="154"/>
        <v>23886.74</v>
      </c>
      <c r="O814" s="72">
        <v>47773.47</v>
      </c>
      <c r="P814" s="72">
        <v>23790</v>
      </c>
      <c r="Q814" s="256">
        <f t="shared" si="155"/>
        <v>5233.8</v>
      </c>
      <c r="R814" s="256">
        <f t="shared" si="156"/>
        <v>29023.8</v>
      </c>
      <c r="S814" s="296"/>
      <c r="T814" s="3">
        <v>35</v>
      </c>
      <c r="U814" s="305"/>
    </row>
    <row r="815" spans="1:21" ht="15" customHeight="1" x14ac:dyDescent="0.35">
      <c r="A815" s="218" t="s">
        <v>3105</v>
      </c>
      <c r="B815" s="3">
        <v>777</v>
      </c>
      <c r="C815" s="45">
        <v>102001319</v>
      </c>
      <c r="D815" s="15" t="s">
        <v>566</v>
      </c>
      <c r="E815" s="18" t="s">
        <v>2236</v>
      </c>
      <c r="F815" s="7">
        <v>5</v>
      </c>
      <c r="G815" s="3" t="s">
        <v>0</v>
      </c>
      <c r="H815" s="5">
        <v>42004</v>
      </c>
      <c r="I815" s="30" t="s">
        <v>1003</v>
      </c>
      <c r="J815" s="4" t="s">
        <v>1962</v>
      </c>
      <c r="K815" s="14" t="s">
        <v>734</v>
      </c>
      <c r="L815" s="3" t="s">
        <v>871</v>
      </c>
      <c r="M815" s="72">
        <f t="shared" si="157"/>
        <v>460715</v>
      </c>
      <c r="N815" s="72">
        <f t="shared" ref="N815:N844" si="158">O815/F815</f>
        <v>92143</v>
      </c>
      <c r="O815" s="72">
        <v>460715</v>
      </c>
      <c r="P815" s="72">
        <v>229400</v>
      </c>
      <c r="Q815" s="256">
        <f t="shared" si="155"/>
        <v>50468</v>
      </c>
      <c r="R815" s="256">
        <f t="shared" si="156"/>
        <v>279868</v>
      </c>
      <c r="S815" s="296"/>
      <c r="T815" s="3">
        <v>35</v>
      </c>
      <c r="U815" s="305"/>
    </row>
    <row r="816" spans="1:21" ht="30" customHeight="1" x14ac:dyDescent="0.35">
      <c r="A816" s="218" t="s">
        <v>3106</v>
      </c>
      <c r="B816" s="3">
        <v>778</v>
      </c>
      <c r="C816" s="45">
        <v>102001427</v>
      </c>
      <c r="D816" s="15" t="s">
        <v>568</v>
      </c>
      <c r="E816" s="18" t="s">
        <v>2236</v>
      </c>
      <c r="F816" s="12">
        <v>1</v>
      </c>
      <c r="G816" s="3" t="s">
        <v>0</v>
      </c>
      <c r="H816" s="5">
        <v>42004</v>
      </c>
      <c r="I816" s="30" t="s">
        <v>1003</v>
      </c>
      <c r="J816" s="4" t="s">
        <v>1962</v>
      </c>
      <c r="K816" s="14" t="s">
        <v>735</v>
      </c>
      <c r="L816" s="3" t="s">
        <v>871</v>
      </c>
      <c r="M816" s="72">
        <f t="shared" si="157"/>
        <v>485806</v>
      </c>
      <c r="N816" s="72">
        <f t="shared" si="158"/>
        <v>485806</v>
      </c>
      <c r="O816" s="72">
        <v>485806</v>
      </c>
      <c r="P816" s="72">
        <v>241900</v>
      </c>
      <c r="Q816" s="256">
        <f t="shared" ref="Q816:Q847" si="159">R816-P816</f>
        <v>53218</v>
      </c>
      <c r="R816" s="256">
        <f t="shared" ref="R816:R847" si="160">P816*1.22</f>
        <v>295118</v>
      </c>
      <c r="S816" s="296"/>
      <c r="T816" s="3">
        <v>35</v>
      </c>
      <c r="U816" s="305"/>
    </row>
    <row r="817" spans="1:21" ht="30" customHeight="1" x14ac:dyDescent="0.35">
      <c r="A817" s="218" t="s">
        <v>3107</v>
      </c>
      <c r="B817" s="3">
        <v>779</v>
      </c>
      <c r="C817" s="45">
        <v>102001388</v>
      </c>
      <c r="D817" s="15" t="s">
        <v>569</v>
      </c>
      <c r="E817" s="18" t="s">
        <v>2236</v>
      </c>
      <c r="F817" s="12">
        <v>1</v>
      </c>
      <c r="G817" s="3" t="s">
        <v>0</v>
      </c>
      <c r="H817" s="5">
        <v>42004</v>
      </c>
      <c r="I817" s="30" t="s">
        <v>1003</v>
      </c>
      <c r="J817" s="4" t="s">
        <v>1962</v>
      </c>
      <c r="K817" s="14" t="s">
        <v>736</v>
      </c>
      <c r="L817" s="3" t="s">
        <v>871</v>
      </c>
      <c r="M817" s="72">
        <f t="shared" si="157"/>
        <v>485806</v>
      </c>
      <c r="N817" s="72">
        <f t="shared" si="158"/>
        <v>485806</v>
      </c>
      <c r="O817" s="72">
        <v>485806</v>
      </c>
      <c r="P817" s="72">
        <v>241900</v>
      </c>
      <c r="Q817" s="256">
        <f t="shared" si="159"/>
        <v>53218</v>
      </c>
      <c r="R817" s="256">
        <f t="shared" si="160"/>
        <v>295118</v>
      </c>
      <c r="S817" s="296"/>
      <c r="T817" s="3">
        <v>35</v>
      </c>
      <c r="U817" s="305"/>
    </row>
    <row r="818" spans="1:21" ht="15" customHeight="1" x14ac:dyDescent="0.35">
      <c r="A818" s="218" t="s">
        <v>3108</v>
      </c>
      <c r="B818" s="3">
        <v>780</v>
      </c>
      <c r="C818" s="45">
        <v>10148140</v>
      </c>
      <c r="D818" s="2" t="s">
        <v>570</v>
      </c>
      <c r="E818" s="18" t="s">
        <v>2236</v>
      </c>
      <c r="F818" s="7">
        <v>2</v>
      </c>
      <c r="G818" s="3" t="s">
        <v>0</v>
      </c>
      <c r="H818" s="5">
        <v>42004</v>
      </c>
      <c r="I818" s="30" t="s">
        <v>1003</v>
      </c>
      <c r="J818" s="4" t="s">
        <v>1962</v>
      </c>
      <c r="K818" s="14" t="s">
        <v>737</v>
      </c>
      <c r="L818" s="3" t="s">
        <v>871</v>
      </c>
      <c r="M818" s="72">
        <f t="shared" si="157"/>
        <v>6446</v>
      </c>
      <c r="N818" s="72">
        <f t="shared" si="158"/>
        <v>3223</v>
      </c>
      <c r="O818" s="72">
        <v>6446</v>
      </c>
      <c r="P818" s="72">
        <v>3310</v>
      </c>
      <c r="Q818" s="256">
        <f t="shared" si="159"/>
        <v>728.2</v>
      </c>
      <c r="R818" s="256">
        <f t="shared" si="160"/>
        <v>4038.2</v>
      </c>
      <c r="S818" s="296"/>
      <c r="T818" s="3">
        <v>35</v>
      </c>
      <c r="U818" s="305"/>
    </row>
    <row r="819" spans="1:21" ht="15" customHeight="1" x14ac:dyDescent="0.35">
      <c r="A819" s="218" t="s">
        <v>3110</v>
      </c>
      <c r="B819" s="3">
        <v>781</v>
      </c>
      <c r="C819" s="45">
        <v>102001004</v>
      </c>
      <c r="D819" s="15" t="s">
        <v>576</v>
      </c>
      <c r="E819" s="18" t="s">
        <v>2236</v>
      </c>
      <c r="F819" s="12">
        <v>1</v>
      </c>
      <c r="G819" s="3" t="s">
        <v>0</v>
      </c>
      <c r="H819" s="5">
        <v>42004</v>
      </c>
      <c r="I819" s="30" t="s">
        <v>1003</v>
      </c>
      <c r="J819" s="4" t="s">
        <v>1962</v>
      </c>
      <c r="K819" s="14" t="s">
        <v>742</v>
      </c>
      <c r="L819" s="3" t="s">
        <v>871</v>
      </c>
      <c r="M819" s="72">
        <f t="shared" si="157"/>
        <v>20993.49</v>
      </c>
      <c r="N819" s="72">
        <f t="shared" si="158"/>
        <v>20993.49</v>
      </c>
      <c r="O819" s="72">
        <v>20993.49</v>
      </c>
      <c r="P819" s="72">
        <v>10450</v>
      </c>
      <c r="Q819" s="256">
        <f t="shared" si="159"/>
        <v>2299</v>
      </c>
      <c r="R819" s="256">
        <f t="shared" si="160"/>
        <v>12749</v>
      </c>
      <c r="S819" s="296"/>
      <c r="T819" s="3">
        <v>35</v>
      </c>
      <c r="U819" s="305"/>
    </row>
    <row r="820" spans="1:21" ht="15" customHeight="1" x14ac:dyDescent="0.35">
      <c r="A820" s="218" t="s">
        <v>3111</v>
      </c>
      <c r="B820" s="3">
        <v>782</v>
      </c>
      <c r="C820" s="45">
        <v>10037693</v>
      </c>
      <c r="D820" s="2" t="s">
        <v>577</v>
      </c>
      <c r="E820" s="18" t="s">
        <v>2236</v>
      </c>
      <c r="F820" s="12">
        <v>1</v>
      </c>
      <c r="G820" s="3" t="s">
        <v>0</v>
      </c>
      <c r="H820" s="5">
        <v>42004</v>
      </c>
      <c r="I820" s="30" t="s">
        <v>1003</v>
      </c>
      <c r="J820" s="4" t="s">
        <v>1962</v>
      </c>
      <c r="K820" s="14" t="s">
        <v>743</v>
      </c>
      <c r="L820" s="3" t="s">
        <v>871</v>
      </c>
      <c r="M820" s="72">
        <f t="shared" si="157"/>
        <v>17990.95</v>
      </c>
      <c r="N820" s="72">
        <f t="shared" si="158"/>
        <v>17990.95</v>
      </c>
      <c r="O820" s="72">
        <v>17990.95</v>
      </c>
      <c r="P820" s="72">
        <v>8960</v>
      </c>
      <c r="Q820" s="256">
        <f t="shared" si="159"/>
        <v>1971.2</v>
      </c>
      <c r="R820" s="256">
        <f t="shared" si="160"/>
        <v>10931.2</v>
      </c>
      <c r="S820" s="296"/>
      <c r="T820" s="3">
        <v>35</v>
      </c>
      <c r="U820" s="305"/>
    </row>
    <row r="821" spans="1:21" ht="15" customHeight="1" x14ac:dyDescent="0.35">
      <c r="A821" s="218" t="s">
        <v>3112</v>
      </c>
      <c r="B821" s="3">
        <v>783</v>
      </c>
      <c r="C821" s="45">
        <v>102001097</v>
      </c>
      <c r="D821" s="15" t="s">
        <v>579</v>
      </c>
      <c r="E821" s="18" t="s">
        <v>2236</v>
      </c>
      <c r="F821" s="12">
        <v>1</v>
      </c>
      <c r="G821" s="3" t="s">
        <v>0</v>
      </c>
      <c r="H821" s="5">
        <v>42004</v>
      </c>
      <c r="I821" s="30" t="s">
        <v>1003</v>
      </c>
      <c r="J821" s="4" t="s">
        <v>1962</v>
      </c>
      <c r="K821" s="14" t="s">
        <v>744</v>
      </c>
      <c r="L821" s="3" t="s">
        <v>871</v>
      </c>
      <c r="M821" s="72">
        <f t="shared" si="157"/>
        <v>51407.25</v>
      </c>
      <c r="N821" s="72">
        <f t="shared" si="158"/>
        <v>51407.25</v>
      </c>
      <c r="O821" s="72">
        <v>51407.25</v>
      </c>
      <c r="P821" s="72">
        <v>25600</v>
      </c>
      <c r="Q821" s="256">
        <f t="shared" si="159"/>
        <v>5632</v>
      </c>
      <c r="R821" s="256">
        <f t="shared" si="160"/>
        <v>31232</v>
      </c>
      <c r="S821" s="296"/>
      <c r="T821" s="3">
        <v>35</v>
      </c>
      <c r="U821" s="305"/>
    </row>
    <row r="822" spans="1:21" ht="15" customHeight="1" x14ac:dyDescent="0.35">
      <c r="A822" s="218" t="s">
        <v>3113</v>
      </c>
      <c r="B822" s="3">
        <v>784</v>
      </c>
      <c r="C822" s="45">
        <v>10019533</v>
      </c>
      <c r="D822" s="2" t="s">
        <v>580</v>
      </c>
      <c r="E822" s="18" t="s">
        <v>2236</v>
      </c>
      <c r="F822" s="12">
        <v>1</v>
      </c>
      <c r="G822" s="3" t="s">
        <v>0</v>
      </c>
      <c r="H822" s="5">
        <v>42004</v>
      </c>
      <c r="I822" s="30" t="s">
        <v>1003</v>
      </c>
      <c r="J822" s="4" t="s">
        <v>1962</v>
      </c>
      <c r="K822" s="14" t="s">
        <v>745</v>
      </c>
      <c r="L822" s="3" t="s">
        <v>871</v>
      </c>
      <c r="M822" s="72">
        <f t="shared" si="157"/>
        <v>28112.71</v>
      </c>
      <c r="N822" s="72">
        <f t="shared" si="158"/>
        <v>28112.71</v>
      </c>
      <c r="O822" s="72">
        <v>28112.71</v>
      </c>
      <c r="P822" s="72">
        <v>14000</v>
      </c>
      <c r="Q822" s="256">
        <f t="shared" si="159"/>
        <v>3080</v>
      </c>
      <c r="R822" s="256">
        <f t="shared" si="160"/>
        <v>17080</v>
      </c>
      <c r="S822" s="296"/>
      <c r="T822" s="3">
        <v>35</v>
      </c>
      <c r="U822" s="305"/>
    </row>
    <row r="823" spans="1:21" ht="15" customHeight="1" x14ac:dyDescent="0.35">
      <c r="A823" s="218" t="s">
        <v>3114</v>
      </c>
      <c r="B823" s="3">
        <v>785</v>
      </c>
      <c r="C823" s="45">
        <v>102002093</v>
      </c>
      <c r="D823" s="15" t="s">
        <v>581</v>
      </c>
      <c r="E823" s="18" t="s">
        <v>2236</v>
      </c>
      <c r="F823" s="12">
        <v>1</v>
      </c>
      <c r="G823" s="3" t="s">
        <v>0</v>
      </c>
      <c r="H823" s="5">
        <v>42004</v>
      </c>
      <c r="I823" s="30" t="s">
        <v>1003</v>
      </c>
      <c r="J823" s="4" t="s">
        <v>1962</v>
      </c>
      <c r="K823" s="14" t="s">
        <v>746</v>
      </c>
      <c r="L823" s="3" t="s">
        <v>871</v>
      </c>
      <c r="M823" s="72">
        <f t="shared" si="157"/>
        <v>24059.88</v>
      </c>
      <c r="N823" s="72">
        <f t="shared" si="158"/>
        <v>24059.88</v>
      </c>
      <c r="O823" s="72">
        <v>24059.88</v>
      </c>
      <c r="P823" s="72">
        <v>11980</v>
      </c>
      <c r="Q823" s="256">
        <f t="shared" si="159"/>
        <v>2635.6</v>
      </c>
      <c r="R823" s="256">
        <f t="shared" si="160"/>
        <v>14615.6</v>
      </c>
      <c r="S823" s="296"/>
      <c r="T823" s="3">
        <v>35</v>
      </c>
      <c r="U823" s="305"/>
    </row>
    <row r="824" spans="1:21" ht="15" customHeight="1" x14ac:dyDescent="0.35">
      <c r="A824" s="218" t="s">
        <v>3115</v>
      </c>
      <c r="B824" s="3">
        <v>786</v>
      </c>
      <c r="C824" s="45">
        <v>102000896</v>
      </c>
      <c r="D824" s="15" t="s">
        <v>584</v>
      </c>
      <c r="E824" s="18" t="s">
        <v>2236</v>
      </c>
      <c r="F824" s="12">
        <v>1</v>
      </c>
      <c r="G824" s="3" t="s">
        <v>0</v>
      </c>
      <c r="H824" s="5">
        <v>42004</v>
      </c>
      <c r="I824" s="30" t="s">
        <v>1003</v>
      </c>
      <c r="J824" s="4" t="s">
        <v>1962</v>
      </c>
      <c r="K824" s="14" t="s">
        <v>747</v>
      </c>
      <c r="L824" s="3" t="s">
        <v>871</v>
      </c>
      <c r="M824" s="72">
        <f t="shared" si="157"/>
        <v>24059.88</v>
      </c>
      <c r="N824" s="72">
        <f t="shared" si="158"/>
        <v>24059.88</v>
      </c>
      <c r="O824" s="72">
        <v>24059.88</v>
      </c>
      <c r="P824" s="72">
        <v>11980</v>
      </c>
      <c r="Q824" s="256">
        <f t="shared" si="159"/>
        <v>2635.6</v>
      </c>
      <c r="R824" s="256">
        <f t="shared" si="160"/>
        <v>14615.6</v>
      </c>
      <c r="S824" s="296"/>
      <c r="T824" s="3">
        <v>35</v>
      </c>
      <c r="U824" s="305"/>
    </row>
    <row r="825" spans="1:21" ht="15" customHeight="1" x14ac:dyDescent="0.35">
      <c r="A825" s="218" t="s">
        <v>3116</v>
      </c>
      <c r="B825" s="3">
        <v>787</v>
      </c>
      <c r="C825" s="45">
        <v>10100827</v>
      </c>
      <c r="D825" s="2" t="s">
        <v>585</v>
      </c>
      <c r="E825" s="18" t="s">
        <v>2236</v>
      </c>
      <c r="F825" s="12">
        <v>1</v>
      </c>
      <c r="G825" s="3" t="s">
        <v>0</v>
      </c>
      <c r="H825" s="5">
        <v>42004</v>
      </c>
      <c r="I825" s="30" t="s">
        <v>1003</v>
      </c>
      <c r="J825" s="4" t="s">
        <v>1962</v>
      </c>
      <c r="K825" s="14" t="s">
        <v>748</v>
      </c>
      <c r="L825" s="3" t="s">
        <v>871</v>
      </c>
      <c r="M825" s="72">
        <f t="shared" si="157"/>
        <v>14502.88</v>
      </c>
      <c r="N825" s="72">
        <f t="shared" si="158"/>
        <v>14502.88</v>
      </c>
      <c r="O825" s="72">
        <v>14502.88</v>
      </c>
      <c r="P825" s="72">
        <v>7220</v>
      </c>
      <c r="Q825" s="256">
        <f t="shared" si="159"/>
        <v>1588.4</v>
      </c>
      <c r="R825" s="256">
        <f t="shared" si="160"/>
        <v>8808.4</v>
      </c>
      <c r="S825" s="296"/>
      <c r="T825" s="3">
        <v>35</v>
      </c>
      <c r="U825" s="305"/>
    </row>
    <row r="826" spans="1:21" ht="15" customHeight="1" x14ac:dyDescent="0.35">
      <c r="A826" s="218" t="s">
        <v>3117</v>
      </c>
      <c r="B826" s="3">
        <v>788</v>
      </c>
      <c r="C826" s="45">
        <v>10030434</v>
      </c>
      <c r="D826" s="2" t="s">
        <v>586</v>
      </c>
      <c r="E826" s="18" t="s">
        <v>2236</v>
      </c>
      <c r="F826" s="12">
        <v>1</v>
      </c>
      <c r="G826" s="3" t="s">
        <v>0</v>
      </c>
      <c r="H826" s="5">
        <v>42004</v>
      </c>
      <c r="I826" s="30" t="s">
        <v>1003</v>
      </c>
      <c r="J826" s="4" t="s">
        <v>1962</v>
      </c>
      <c r="K826" s="14" t="s">
        <v>749</v>
      </c>
      <c r="L826" s="3" t="s">
        <v>871</v>
      </c>
      <c r="M826" s="72">
        <f t="shared" si="157"/>
        <v>18298.16</v>
      </c>
      <c r="N826" s="72">
        <f t="shared" si="158"/>
        <v>18298.16</v>
      </c>
      <c r="O826" s="72">
        <v>18298.16</v>
      </c>
      <c r="P826" s="72">
        <v>9110</v>
      </c>
      <c r="Q826" s="256">
        <f t="shared" si="159"/>
        <v>2004.2</v>
      </c>
      <c r="R826" s="256">
        <f t="shared" si="160"/>
        <v>11114.2</v>
      </c>
      <c r="S826" s="296"/>
      <c r="T826" s="3">
        <v>35</v>
      </c>
      <c r="U826" s="305"/>
    </row>
    <row r="827" spans="1:21" ht="15" customHeight="1" x14ac:dyDescent="0.35">
      <c r="A827" s="218" t="s">
        <v>3118</v>
      </c>
      <c r="B827" s="3">
        <v>789</v>
      </c>
      <c r="C827" s="45">
        <v>10027367</v>
      </c>
      <c r="D827" s="2" t="s">
        <v>587</v>
      </c>
      <c r="E827" s="18" t="s">
        <v>2236</v>
      </c>
      <c r="F827" s="12">
        <v>1</v>
      </c>
      <c r="G827" s="3" t="s">
        <v>0</v>
      </c>
      <c r="H827" s="5">
        <v>42004</v>
      </c>
      <c r="I827" s="30" t="s">
        <v>1003</v>
      </c>
      <c r="J827" s="4" t="s">
        <v>1962</v>
      </c>
      <c r="K827" s="14" t="s">
        <v>750</v>
      </c>
      <c r="L827" s="3" t="s">
        <v>871</v>
      </c>
      <c r="M827" s="72">
        <f t="shared" si="157"/>
        <v>1589.49</v>
      </c>
      <c r="N827" s="72">
        <f t="shared" si="158"/>
        <v>1589.49</v>
      </c>
      <c r="O827" s="72">
        <v>1589.49</v>
      </c>
      <c r="P827" s="72">
        <v>790</v>
      </c>
      <c r="Q827" s="256">
        <f t="shared" si="159"/>
        <v>173.8</v>
      </c>
      <c r="R827" s="256">
        <f t="shared" si="160"/>
        <v>963.8</v>
      </c>
      <c r="S827" s="296"/>
      <c r="T827" s="3">
        <v>35</v>
      </c>
      <c r="U827" s="305"/>
    </row>
    <row r="828" spans="1:21" ht="15" customHeight="1" x14ac:dyDescent="0.35">
      <c r="A828" s="218" t="s">
        <v>3119</v>
      </c>
      <c r="B828" s="3">
        <v>790</v>
      </c>
      <c r="C828" s="45">
        <v>102001222</v>
      </c>
      <c r="D828" s="15" t="s">
        <v>588</v>
      </c>
      <c r="E828" s="18" t="s">
        <v>2236</v>
      </c>
      <c r="F828" s="12">
        <v>1</v>
      </c>
      <c r="G828" s="3" t="s">
        <v>0</v>
      </c>
      <c r="H828" s="5">
        <v>42004</v>
      </c>
      <c r="I828" s="30" t="s">
        <v>1003</v>
      </c>
      <c r="J828" s="4" t="s">
        <v>1962</v>
      </c>
      <c r="K828" s="14" t="s">
        <v>751</v>
      </c>
      <c r="L828" s="3" t="s">
        <v>871</v>
      </c>
      <c r="M828" s="72">
        <f t="shared" si="157"/>
        <v>23550</v>
      </c>
      <c r="N828" s="72">
        <f t="shared" si="158"/>
        <v>23550</v>
      </c>
      <c r="O828" s="72">
        <v>23550</v>
      </c>
      <c r="P828" s="72">
        <v>11730</v>
      </c>
      <c r="Q828" s="256">
        <f t="shared" si="159"/>
        <v>2580.6</v>
      </c>
      <c r="R828" s="256">
        <f t="shared" si="160"/>
        <v>14310.6</v>
      </c>
      <c r="S828" s="296"/>
      <c r="T828" s="3">
        <v>35</v>
      </c>
      <c r="U828" s="305"/>
    </row>
    <row r="829" spans="1:21" ht="15" customHeight="1" x14ac:dyDescent="0.35">
      <c r="A829" s="218" t="s">
        <v>3120</v>
      </c>
      <c r="B829" s="3">
        <v>791</v>
      </c>
      <c r="C829" s="45">
        <v>10138528</v>
      </c>
      <c r="D829" s="2" t="s">
        <v>589</v>
      </c>
      <c r="E829" s="18" t="s">
        <v>2236</v>
      </c>
      <c r="F829" s="12">
        <v>1</v>
      </c>
      <c r="G829" s="3" t="s">
        <v>0</v>
      </c>
      <c r="H829" s="5">
        <v>42004</v>
      </c>
      <c r="I829" s="30" t="s">
        <v>1003</v>
      </c>
      <c r="J829" s="4" t="s">
        <v>1962</v>
      </c>
      <c r="K829" s="14" t="s">
        <v>752</v>
      </c>
      <c r="L829" s="3" t="s">
        <v>871</v>
      </c>
      <c r="M829" s="72">
        <f t="shared" si="157"/>
        <v>25711.16</v>
      </c>
      <c r="N829" s="72">
        <f t="shared" si="158"/>
        <v>25711.16</v>
      </c>
      <c r="O829" s="72">
        <v>25711.16</v>
      </c>
      <c r="P829" s="72">
        <v>12800</v>
      </c>
      <c r="Q829" s="256">
        <f t="shared" si="159"/>
        <v>2816</v>
      </c>
      <c r="R829" s="256">
        <f t="shared" si="160"/>
        <v>15616</v>
      </c>
      <c r="S829" s="296"/>
      <c r="T829" s="3">
        <v>35</v>
      </c>
      <c r="U829" s="305"/>
    </row>
    <row r="830" spans="1:21" ht="15" customHeight="1" x14ac:dyDescent="0.35">
      <c r="A830" s="218" t="s">
        <v>3121</v>
      </c>
      <c r="B830" s="3">
        <v>792</v>
      </c>
      <c r="C830" s="45">
        <v>102002120</v>
      </c>
      <c r="D830" s="15" t="s">
        <v>590</v>
      </c>
      <c r="E830" s="18" t="s">
        <v>2236</v>
      </c>
      <c r="F830" s="12">
        <v>1</v>
      </c>
      <c r="G830" s="3" t="s">
        <v>0</v>
      </c>
      <c r="H830" s="5">
        <v>42004</v>
      </c>
      <c r="I830" s="30" t="s">
        <v>1003</v>
      </c>
      <c r="J830" s="4" t="s">
        <v>1962</v>
      </c>
      <c r="K830" s="14" t="s">
        <v>753</v>
      </c>
      <c r="L830" s="3" t="s">
        <v>871</v>
      </c>
      <c r="M830" s="72">
        <f t="shared" si="157"/>
        <v>20710.41</v>
      </c>
      <c r="N830" s="72">
        <f t="shared" si="158"/>
        <v>20710.41</v>
      </c>
      <c r="O830" s="72">
        <v>20710.41</v>
      </c>
      <c r="P830" s="72">
        <v>10310</v>
      </c>
      <c r="Q830" s="256">
        <f t="shared" si="159"/>
        <v>2268.1999999999998</v>
      </c>
      <c r="R830" s="256">
        <f t="shared" si="160"/>
        <v>12578.2</v>
      </c>
      <c r="S830" s="296"/>
      <c r="T830" s="3">
        <v>35</v>
      </c>
      <c r="U830" s="305"/>
    </row>
    <row r="831" spans="1:21" ht="15" customHeight="1" x14ac:dyDescent="0.35">
      <c r="A831" s="218" t="s">
        <v>3122</v>
      </c>
      <c r="B831" s="3">
        <v>793</v>
      </c>
      <c r="C831" s="45">
        <v>10019529</v>
      </c>
      <c r="D831" s="2" t="s">
        <v>591</v>
      </c>
      <c r="E831" s="18" t="s">
        <v>2236</v>
      </c>
      <c r="F831" s="12">
        <v>1</v>
      </c>
      <c r="G831" s="3" t="s">
        <v>0</v>
      </c>
      <c r="H831" s="5">
        <v>42004</v>
      </c>
      <c r="I831" s="30" t="s">
        <v>1003</v>
      </c>
      <c r="J831" s="4" t="s">
        <v>1962</v>
      </c>
      <c r="K831" s="14" t="s">
        <v>754</v>
      </c>
      <c r="L831" s="3" t="s">
        <v>871</v>
      </c>
      <c r="M831" s="72">
        <f t="shared" si="157"/>
        <v>22039.05</v>
      </c>
      <c r="N831" s="72">
        <f t="shared" si="158"/>
        <v>22039.05</v>
      </c>
      <c r="O831" s="72">
        <v>22039.05</v>
      </c>
      <c r="P831" s="72">
        <v>10970</v>
      </c>
      <c r="Q831" s="256">
        <f t="shared" si="159"/>
        <v>2413.4</v>
      </c>
      <c r="R831" s="256">
        <f t="shared" si="160"/>
        <v>13383.4</v>
      </c>
      <c r="S831" s="296"/>
      <c r="T831" s="3">
        <v>35</v>
      </c>
      <c r="U831" s="305"/>
    </row>
    <row r="832" spans="1:21" ht="15" customHeight="1" x14ac:dyDescent="0.35">
      <c r="A832" s="218" t="s">
        <v>3123</v>
      </c>
      <c r="B832" s="3">
        <v>794</v>
      </c>
      <c r="C832" s="45">
        <v>102002066</v>
      </c>
      <c r="D832" s="15" t="s">
        <v>592</v>
      </c>
      <c r="E832" s="18" t="s">
        <v>2236</v>
      </c>
      <c r="F832" s="12">
        <v>1</v>
      </c>
      <c r="G832" s="3" t="s">
        <v>0</v>
      </c>
      <c r="H832" s="5">
        <v>42004</v>
      </c>
      <c r="I832" s="30" t="s">
        <v>1003</v>
      </c>
      <c r="J832" s="4" t="s">
        <v>1962</v>
      </c>
      <c r="K832" s="14" t="s">
        <v>755</v>
      </c>
      <c r="L832" s="3" t="s">
        <v>871</v>
      </c>
      <c r="M832" s="72">
        <f t="shared" si="157"/>
        <v>25070.01</v>
      </c>
      <c r="N832" s="72">
        <f t="shared" si="158"/>
        <v>25070.01</v>
      </c>
      <c r="O832" s="72">
        <v>25070.01</v>
      </c>
      <c r="P832" s="72">
        <v>12480</v>
      </c>
      <c r="Q832" s="256">
        <f t="shared" si="159"/>
        <v>2745.6</v>
      </c>
      <c r="R832" s="256">
        <f t="shared" si="160"/>
        <v>15225.6</v>
      </c>
      <c r="S832" s="296"/>
      <c r="T832" s="3">
        <v>35</v>
      </c>
      <c r="U832" s="305"/>
    </row>
    <row r="833" spans="1:21" ht="15" customHeight="1" x14ac:dyDescent="0.35">
      <c r="A833" s="218" t="s">
        <v>3124</v>
      </c>
      <c r="B833" s="3">
        <v>795</v>
      </c>
      <c r="C833" s="45">
        <v>102001563</v>
      </c>
      <c r="D833" s="15" t="s">
        <v>593</v>
      </c>
      <c r="E833" s="18" t="s">
        <v>2236</v>
      </c>
      <c r="F833" s="12">
        <v>1</v>
      </c>
      <c r="G833" s="3" t="s">
        <v>0</v>
      </c>
      <c r="H833" s="5">
        <v>42004</v>
      </c>
      <c r="I833" s="30" t="s">
        <v>1003</v>
      </c>
      <c r="J833" s="4" t="s">
        <v>1962</v>
      </c>
      <c r="K833" s="14" t="s">
        <v>756</v>
      </c>
      <c r="L833" s="3" t="s">
        <v>871</v>
      </c>
      <c r="M833" s="72">
        <f t="shared" si="157"/>
        <v>28520.03</v>
      </c>
      <c r="N833" s="72">
        <f t="shared" si="158"/>
        <v>28520.03</v>
      </c>
      <c r="O833" s="72">
        <v>28520.03</v>
      </c>
      <c r="P833" s="72">
        <v>14200</v>
      </c>
      <c r="Q833" s="256">
        <f t="shared" si="159"/>
        <v>3124</v>
      </c>
      <c r="R833" s="256">
        <f t="shared" si="160"/>
        <v>17324</v>
      </c>
      <c r="S833" s="296"/>
      <c r="T833" s="3">
        <v>35</v>
      </c>
      <c r="U833" s="305"/>
    </row>
    <row r="834" spans="1:21" ht="15" customHeight="1" x14ac:dyDescent="0.35">
      <c r="A834" s="218" t="s">
        <v>3125</v>
      </c>
      <c r="B834" s="3">
        <v>796</v>
      </c>
      <c r="C834" s="45">
        <v>10019531</v>
      </c>
      <c r="D834" s="2" t="s">
        <v>594</v>
      </c>
      <c r="E834" s="18" t="s">
        <v>2236</v>
      </c>
      <c r="F834" s="12">
        <v>1</v>
      </c>
      <c r="G834" s="3" t="s">
        <v>0</v>
      </c>
      <c r="H834" s="5">
        <v>42004</v>
      </c>
      <c r="I834" s="30" t="s">
        <v>1003</v>
      </c>
      <c r="J834" s="4" t="s">
        <v>1962</v>
      </c>
      <c r="K834" s="14" t="s">
        <v>757</v>
      </c>
      <c r="L834" s="3" t="s">
        <v>871</v>
      </c>
      <c r="M834" s="72">
        <f t="shared" si="157"/>
        <v>28112.71</v>
      </c>
      <c r="N834" s="72">
        <f t="shared" si="158"/>
        <v>28112.71</v>
      </c>
      <c r="O834" s="72">
        <v>28112.71</v>
      </c>
      <c r="P834" s="72">
        <v>16660</v>
      </c>
      <c r="Q834" s="256">
        <f t="shared" si="159"/>
        <v>3665.2</v>
      </c>
      <c r="R834" s="256">
        <f t="shared" si="160"/>
        <v>20325.2</v>
      </c>
      <c r="S834" s="296"/>
      <c r="T834" s="3">
        <v>35</v>
      </c>
      <c r="U834" s="305"/>
    </row>
    <row r="835" spans="1:21" ht="15" customHeight="1" x14ac:dyDescent="0.35">
      <c r="A835" s="218" t="s">
        <v>3126</v>
      </c>
      <c r="B835" s="3">
        <v>797</v>
      </c>
      <c r="C835" s="45">
        <v>102002133</v>
      </c>
      <c r="D835" s="15" t="s">
        <v>595</v>
      </c>
      <c r="E835" s="18" t="s">
        <v>2236</v>
      </c>
      <c r="F835" s="12">
        <v>1</v>
      </c>
      <c r="G835" s="3" t="s">
        <v>0</v>
      </c>
      <c r="H835" s="5">
        <v>42004</v>
      </c>
      <c r="I835" s="30" t="s">
        <v>1003</v>
      </c>
      <c r="J835" s="4" t="s">
        <v>1962</v>
      </c>
      <c r="K835" s="14" t="s">
        <v>758</v>
      </c>
      <c r="L835" s="3" t="s">
        <v>871</v>
      </c>
      <c r="M835" s="72">
        <f t="shared" si="157"/>
        <v>33173</v>
      </c>
      <c r="N835" s="72">
        <f t="shared" si="158"/>
        <v>33173</v>
      </c>
      <c r="O835" s="72">
        <v>33173</v>
      </c>
      <c r="P835" s="72">
        <v>16520</v>
      </c>
      <c r="Q835" s="256">
        <f t="shared" si="159"/>
        <v>3634.4</v>
      </c>
      <c r="R835" s="256">
        <f t="shared" si="160"/>
        <v>20154.400000000001</v>
      </c>
      <c r="S835" s="296"/>
      <c r="T835" s="3">
        <v>35</v>
      </c>
      <c r="U835" s="305"/>
    </row>
    <row r="836" spans="1:21" ht="15" customHeight="1" x14ac:dyDescent="0.35">
      <c r="A836" s="218" t="s">
        <v>3127</v>
      </c>
      <c r="B836" s="3">
        <v>798</v>
      </c>
      <c r="C836" s="45">
        <v>102000955</v>
      </c>
      <c r="D836" s="15" t="s">
        <v>596</v>
      </c>
      <c r="E836" s="18" t="s">
        <v>2236</v>
      </c>
      <c r="F836" s="12">
        <v>1</v>
      </c>
      <c r="G836" s="3" t="s">
        <v>0</v>
      </c>
      <c r="H836" s="5">
        <v>42004</v>
      </c>
      <c r="I836" s="30" t="s">
        <v>1003</v>
      </c>
      <c r="J836" s="4" t="s">
        <v>1962</v>
      </c>
      <c r="K836" s="14" t="s">
        <v>759</v>
      </c>
      <c r="L836" s="3" t="s">
        <v>871</v>
      </c>
      <c r="M836" s="72">
        <f t="shared" si="157"/>
        <v>28234.65</v>
      </c>
      <c r="N836" s="72">
        <f t="shared" si="158"/>
        <v>28234.65</v>
      </c>
      <c r="O836" s="72">
        <v>28234.65</v>
      </c>
      <c r="P836" s="72">
        <v>14060</v>
      </c>
      <c r="Q836" s="256">
        <f t="shared" si="159"/>
        <v>3093.2</v>
      </c>
      <c r="R836" s="256">
        <f t="shared" si="160"/>
        <v>17153.2</v>
      </c>
      <c r="S836" s="296"/>
      <c r="T836" s="3">
        <v>35</v>
      </c>
      <c r="U836" s="305"/>
    </row>
    <row r="837" spans="1:21" ht="15" customHeight="1" x14ac:dyDescent="0.35">
      <c r="A837" s="218" t="s">
        <v>3128</v>
      </c>
      <c r="B837" s="3">
        <v>799</v>
      </c>
      <c r="C837" s="45">
        <v>10019749</v>
      </c>
      <c r="D837" s="2" t="s">
        <v>597</v>
      </c>
      <c r="E837" s="18" t="s">
        <v>2236</v>
      </c>
      <c r="F837" s="12">
        <v>1</v>
      </c>
      <c r="G837" s="3" t="s">
        <v>0</v>
      </c>
      <c r="H837" s="5">
        <v>42004</v>
      </c>
      <c r="I837" s="30" t="s">
        <v>1003</v>
      </c>
      <c r="J837" s="4" t="s">
        <v>1962</v>
      </c>
      <c r="K837" s="14" t="s">
        <v>760</v>
      </c>
      <c r="L837" s="3" t="s">
        <v>871</v>
      </c>
      <c r="M837" s="72">
        <f t="shared" si="157"/>
        <v>3537.8</v>
      </c>
      <c r="N837" s="72">
        <f t="shared" si="158"/>
        <v>3537.8</v>
      </c>
      <c r="O837" s="72">
        <v>3537.8</v>
      </c>
      <c r="P837" s="72">
        <v>1760</v>
      </c>
      <c r="Q837" s="256">
        <f t="shared" si="159"/>
        <v>387.2</v>
      </c>
      <c r="R837" s="256">
        <f t="shared" si="160"/>
        <v>2147.1999999999998</v>
      </c>
      <c r="S837" s="296"/>
      <c r="T837" s="3">
        <v>35</v>
      </c>
      <c r="U837" s="305"/>
    </row>
    <row r="838" spans="1:21" ht="15" customHeight="1" x14ac:dyDescent="0.35">
      <c r="A838" s="218" t="s">
        <v>3129</v>
      </c>
      <c r="B838" s="3">
        <v>800</v>
      </c>
      <c r="C838" s="45">
        <v>10019780</v>
      </c>
      <c r="D838" s="2" t="s">
        <v>598</v>
      </c>
      <c r="E838" s="18" t="s">
        <v>2236</v>
      </c>
      <c r="F838" s="12">
        <v>1</v>
      </c>
      <c r="G838" s="3" t="s">
        <v>0</v>
      </c>
      <c r="H838" s="5">
        <v>42004</v>
      </c>
      <c r="I838" s="30" t="s">
        <v>1003</v>
      </c>
      <c r="J838" s="4" t="s">
        <v>1962</v>
      </c>
      <c r="K838" s="14" t="s">
        <v>761</v>
      </c>
      <c r="L838" s="3" t="s">
        <v>871</v>
      </c>
      <c r="M838" s="72">
        <f t="shared" si="157"/>
        <v>23209.14</v>
      </c>
      <c r="N838" s="72">
        <f t="shared" si="158"/>
        <v>23209.14</v>
      </c>
      <c r="O838" s="72">
        <v>23209.14</v>
      </c>
      <c r="P838" s="72">
        <v>11560</v>
      </c>
      <c r="Q838" s="256">
        <f t="shared" si="159"/>
        <v>2543.1999999999998</v>
      </c>
      <c r="R838" s="256">
        <f t="shared" si="160"/>
        <v>14103.2</v>
      </c>
      <c r="S838" s="296"/>
      <c r="T838" s="3">
        <v>35</v>
      </c>
      <c r="U838" s="305"/>
    </row>
    <row r="839" spans="1:21" ht="15" customHeight="1" x14ac:dyDescent="0.35">
      <c r="A839" s="218" t="s">
        <v>3130</v>
      </c>
      <c r="B839" s="3">
        <v>801</v>
      </c>
      <c r="C839" s="45">
        <v>102002013</v>
      </c>
      <c r="D839" s="15" t="s">
        <v>285</v>
      </c>
      <c r="E839" s="18" t="s">
        <v>2236</v>
      </c>
      <c r="F839" s="12">
        <v>1</v>
      </c>
      <c r="G839" s="3" t="s">
        <v>0</v>
      </c>
      <c r="H839" s="5">
        <v>42004</v>
      </c>
      <c r="I839" s="30" t="s">
        <v>1003</v>
      </c>
      <c r="J839" s="4" t="s">
        <v>1962</v>
      </c>
      <c r="K839" s="14" t="s">
        <v>769</v>
      </c>
      <c r="L839" s="3" t="s">
        <v>871</v>
      </c>
      <c r="M839" s="72">
        <f t="shared" si="157"/>
        <v>181039.6</v>
      </c>
      <c r="N839" s="72">
        <f t="shared" si="158"/>
        <v>181039.6</v>
      </c>
      <c r="O839" s="72">
        <v>181039.6</v>
      </c>
      <c r="P839" s="72">
        <v>113810</v>
      </c>
      <c r="Q839" s="256">
        <f t="shared" si="159"/>
        <v>25038.2</v>
      </c>
      <c r="R839" s="256">
        <f t="shared" si="160"/>
        <v>138848.20000000001</v>
      </c>
      <c r="S839" s="296"/>
      <c r="T839" s="3">
        <v>35</v>
      </c>
      <c r="U839" s="305"/>
    </row>
    <row r="840" spans="1:21" ht="29.25" customHeight="1" x14ac:dyDescent="0.35">
      <c r="A840" s="218" t="s">
        <v>3131</v>
      </c>
      <c r="B840" s="3">
        <v>802</v>
      </c>
      <c r="C840" s="45">
        <v>10094501</v>
      </c>
      <c r="D840" s="2" t="s">
        <v>625</v>
      </c>
      <c r="E840" s="18" t="s">
        <v>2236</v>
      </c>
      <c r="F840" s="12">
        <v>1</v>
      </c>
      <c r="G840" s="3" t="s">
        <v>0</v>
      </c>
      <c r="H840" s="5">
        <v>42004</v>
      </c>
      <c r="I840" s="30" t="s">
        <v>1003</v>
      </c>
      <c r="J840" s="4" t="s">
        <v>1962</v>
      </c>
      <c r="K840" s="14" t="s">
        <v>774</v>
      </c>
      <c r="L840" s="3" t="s">
        <v>871</v>
      </c>
      <c r="M840" s="72">
        <f t="shared" si="157"/>
        <v>8001.04</v>
      </c>
      <c r="N840" s="72">
        <f t="shared" si="158"/>
        <v>8001.04</v>
      </c>
      <c r="O840" s="72">
        <v>8001.04</v>
      </c>
      <c r="P840" s="72">
        <v>3980</v>
      </c>
      <c r="Q840" s="256">
        <f t="shared" si="159"/>
        <v>875.6</v>
      </c>
      <c r="R840" s="256">
        <f t="shared" si="160"/>
        <v>4855.6000000000004</v>
      </c>
      <c r="S840" s="296"/>
      <c r="T840" s="3">
        <v>35</v>
      </c>
      <c r="U840" s="305"/>
    </row>
    <row r="841" spans="1:21" ht="15" customHeight="1" x14ac:dyDescent="0.35">
      <c r="A841" s="218" t="s">
        <v>3132</v>
      </c>
      <c r="B841" s="3">
        <v>803</v>
      </c>
      <c r="C841" s="45">
        <v>10102236</v>
      </c>
      <c r="D841" s="2" t="s">
        <v>626</v>
      </c>
      <c r="E841" s="18" t="s">
        <v>2236</v>
      </c>
      <c r="F841" s="12">
        <v>1</v>
      </c>
      <c r="G841" s="3" t="s">
        <v>0</v>
      </c>
      <c r="H841" s="5">
        <v>42004</v>
      </c>
      <c r="I841" s="30" t="s">
        <v>1003</v>
      </c>
      <c r="J841" s="4" t="s">
        <v>1962</v>
      </c>
      <c r="K841" s="14" t="s">
        <v>775</v>
      </c>
      <c r="L841" s="3" t="s">
        <v>871</v>
      </c>
      <c r="M841" s="72">
        <f t="shared" si="157"/>
        <v>7125.77</v>
      </c>
      <c r="N841" s="72">
        <f t="shared" si="158"/>
        <v>7125.77</v>
      </c>
      <c r="O841" s="72">
        <v>7125.77</v>
      </c>
      <c r="P841" s="72">
        <v>3550</v>
      </c>
      <c r="Q841" s="256">
        <f t="shared" si="159"/>
        <v>781</v>
      </c>
      <c r="R841" s="256">
        <f t="shared" si="160"/>
        <v>4331</v>
      </c>
      <c r="S841" s="296"/>
      <c r="T841" s="3">
        <v>35</v>
      </c>
      <c r="U841" s="305"/>
    </row>
    <row r="842" spans="1:21" ht="34" customHeight="1" x14ac:dyDescent="0.35">
      <c r="A842" s="218" t="s">
        <v>3133</v>
      </c>
      <c r="B842" s="3">
        <v>804</v>
      </c>
      <c r="C842" s="45">
        <v>102001493</v>
      </c>
      <c r="D842" s="15" t="s">
        <v>630</v>
      </c>
      <c r="E842" s="18" t="s">
        <v>2236</v>
      </c>
      <c r="F842" s="12">
        <v>1</v>
      </c>
      <c r="G842" s="3" t="s">
        <v>0</v>
      </c>
      <c r="H842" s="5">
        <v>42004</v>
      </c>
      <c r="I842" s="30" t="s">
        <v>1003</v>
      </c>
      <c r="J842" s="4" t="s">
        <v>1962</v>
      </c>
      <c r="K842" s="14" t="s">
        <v>276</v>
      </c>
      <c r="L842" s="3" t="s">
        <v>871</v>
      </c>
      <c r="M842" s="96">
        <f t="shared" si="157"/>
        <v>50308.08</v>
      </c>
      <c r="N842" s="96">
        <f t="shared" si="158"/>
        <v>50308.08</v>
      </c>
      <c r="O842" s="72">
        <v>50308.08</v>
      </c>
      <c r="P842" s="72">
        <v>25050</v>
      </c>
      <c r="Q842" s="256">
        <f t="shared" si="159"/>
        <v>5511</v>
      </c>
      <c r="R842" s="256">
        <f t="shared" si="160"/>
        <v>30561</v>
      </c>
      <c r="S842" s="296"/>
      <c r="T842" s="3">
        <v>35</v>
      </c>
      <c r="U842" s="305"/>
    </row>
    <row r="843" spans="1:21" ht="21" customHeight="1" x14ac:dyDescent="0.35">
      <c r="A843" s="218" t="s">
        <v>3134</v>
      </c>
      <c r="B843" s="3">
        <v>805</v>
      </c>
      <c r="C843" s="45">
        <v>10148146</v>
      </c>
      <c r="D843" s="2" t="s">
        <v>633</v>
      </c>
      <c r="E843" s="18" t="s">
        <v>2236</v>
      </c>
      <c r="F843" s="7">
        <v>2</v>
      </c>
      <c r="G843" s="3" t="s">
        <v>0</v>
      </c>
      <c r="H843" s="5">
        <v>42004</v>
      </c>
      <c r="I843" s="30" t="s">
        <v>1003</v>
      </c>
      <c r="J843" s="4" t="s">
        <v>1962</v>
      </c>
      <c r="K843" s="14" t="s">
        <v>780</v>
      </c>
      <c r="L843" s="3" t="s">
        <v>871</v>
      </c>
      <c r="M843" s="72">
        <f t="shared" si="157"/>
        <v>68630</v>
      </c>
      <c r="N843" s="72">
        <f t="shared" si="158"/>
        <v>34315</v>
      </c>
      <c r="O843" s="72">
        <v>68630</v>
      </c>
      <c r="P843" s="72">
        <v>35250</v>
      </c>
      <c r="Q843" s="256">
        <f t="shared" si="159"/>
        <v>7755</v>
      </c>
      <c r="R843" s="256">
        <f t="shared" si="160"/>
        <v>43005</v>
      </c>
      <c r="S843" s="296"/>
      <c r="T843" s="3">
        <v>35</v>
      </c>
      <c r="U843" s="305"/>
    </row>
    <row r="844" spans="1:21" ht="15" customHeight="1" x14ac:dyDescent="0.35">
      <c r="A844" s="218" t="s">
        <v>3135</v>
      </c>
      <c r="B844" s="3">
        <v>806</v>
      </c>
      <c r="C844" s="45">
        <v>10148160</v>
      </c>
      <c r="D844" s="2" t="s">
        <v>634</v>
      </c>
      <c r="E844" s="18" t="s">
        <v>2236</v>
      </c>
      <c r="F844" s="7">
        <v>2</v>
      </c>
      <c r="G844" s="3" t="s">
        <v>0</v>
      </c>
      <c r="H844" s="5">
        <v>42004</v>
      </c>
      <c r="I844" s="30" t="s">
        <v>1003</v>
      </c>
      <c r="J844" s="4" t="s">
        <v>1962</v>
      </c>
      <c r="K844" s="14" t="s">
        <v>781</v>
      </c>
      <c r="L844" s="3" t="s">
        <v>871</v>
      </c>
      <c r="M844" s="72">
        <f t="shared" si="157"/>
        <v>17478</v>
      </c>
      <c r="N844" s="72">
        <f t="shared" si="158"/>
        <v>8739</v>
      </c>
      <c r="O844" s="72">
        <v>17478</v>
      </c>
      <c r="P844" s="72">
        <v>8980</v>
      </c>
      <c r="Q844" s="256">
        <f t="shared" si="159"/>
        <v>1975.6</v>
      </c>
      <c r="R844" s="256">
        <f t="shared" si="160"/>
        <v>10955.6</v>
      </c>
      <c r="S844" s="296"/>
      <c r="T844" s="3">
        <v>35</v>
      </c>
      <c r="U844" s="305"/>
    </row>
    <row r="845" spans="1:21" ht="15" customHeight="1" x14ac:dyDescent="0.35">
      <c r="A845" s="218" t="s">
        <v>3136</v>
      </c>
      <c r="B845" s="3">
        <v>807</v>
      </c>
      <c r="C845" s="45">
        <v>10131839</v>
      </c>
      <c r="D845" s="2" t="s">
        <v>67</v>
      </c>
      <c r="E845" s="18" t="s">
        <v>2236</v>
      </c>
      <c r="F845" s="7">
        <v>3</v>
      </c>
      <c r="G845" s="3" t="s">
        <v>0</v>
      </c>
      <c r="H845" s="5">
        <v>42004</v>
      </c>
      <c r="I845" s="30" t="s">
        <v>1003</v>
      </c>
      <c r="J845" s="4" t="s">
        <v>1962</v>
      </c>
      <c r="K845" s="14" t="s">
        <v>787</v>
      </c>
      <c r="L845" s="3" t="s">
        <v>871</v>
      </c>
      <c r="M845" s="72">
        <f t="shared" si="157"/>
        <v>72666</v>
      </c>
      <c r="N845" s="72">
        <f t="shared" ref="N845:N874" si="161">O845/F845</f>
        <v>24222</v>
      </c>
      <c r="O845" s="72">
        <v>72666</v>
      </c>
      <c r="P845" s="72">
        <v>37330</v>
      </c>
      <c r="Q845" s="256">
        <f t="shared" si="159"/>
        <v>8212.6</v>
      </c>
      <c r="R845" s="256">
        <f t="shared" si="160"/>
        <v>45542.6</v>
      </c>
      <c r="S845" s="296"/>
      <c r="T845" s="3">
        <v>35</v>
      </c>
      <c r="U845" s="305"/>
    </row>
    <row r="846" spans="1:21" ht="15" customHeight="1" x14ac:dyDescent="0.35">
      <c r="A846" s="218" t="s">
        <v>3137</v>
      </c>
      <c r="B846" s="3">
        <v>808</v>
      </c>
      <c r="C846" s="45">
        <v>10109950</v>
      </c>
      <c r="D846" s="2" t="s">
        <v>643</v>
      </c>
      <c r="E846" s="18" t="s">
        <v>2236</v>
      </c>
      <c r="F846" s="12">
        <v>1</v>
      </c>
      <c r="G846" s="3" t="s">
        <v>0</v>
      </c>
      <c r="H846" s="5">
        <v>42004</v>
      </c>
      <c r="I846" s="30" t="s">
        <v>1003</v>
      </c>
      <c r="J846" s="4" t="s">
        <v>1962</v>
      </c>
      <c r="K846" s="14" t="s">
        <v>788</v>
      </c>
      <c r="L846" s="3" t="s">
        <v>871</v>
      </c>
      <c r="M846" s="72">
        <f t="shared" si="157"/>
        <v>8342.27</v>
      </c>
      <c r="N846" s="72">
        <f t="shared" si="161"/>
        <v>8342.27</v>
      </c>
      <c r="O846" s="72">
        <v>8342.27</v>
      </c>
      <c r="P846" s="72">
        <v>4150</v>
      </c>
      <c r="Q846" s="256">
        <f t="shared" si="159"/>
        <v>913</v>
      </c>
      <c r="R846" s="256">
        <f t="shared" si="160"/>
        <v>5063</v>
      </c>
      <c r="S846" s="296"/>
      <c r="T846" s="3">
        <v>35</v>
      </c>
      <c r="U846" s="305"/>
    </row>
    <row r="847" spans="1:21" ht="29.15" customHeight="1" x14ac:dyDescent="0.35">
      <c r="A847" s="218" t="s">
        <v>3138</v>
      </c>
      <c r="B847" s="3">
        <v>809</v>
      </c>
      <c r="C847" s="45">
        <v>10109933</v>
      </c>
      <c r="D847" s="2" t="s">
        <v>644</v>
      </c>
      <c r="E847" s="18" t="s">
        <v>2236</v>
      </c>
      <c r="F847" s="12">
        <v>1</v>
      </c>
      <c r="G847" s="3" t="s">
        <v>0</v>
      </c>
      <c r="H847" s="5">
        <v>42004</v>
      </c>
      <c r="I847" s="30" t="s">
        <v>1003</v>
      </c>
      <c r="J847" s="4" t="s">
        <v>1962</v>
      </c>
      <c r="K847" s="14" t="s">
        <v>620</v>
      </c>
      <c r="L847" s="3" t="s">
        <v>871</v>
      </c>
      <c r="M847" s="72">
        <f t="shared" si="157"/>
        <v>10765.73</v>
      </c>
      <c r="N847" s="72">
        <f t="shared" si="161"/>
        <v>10765.73</v>
      </c>
      <c r="O847" s="72">
        <v>10765.73</v>
      </c>
      <c r="P847" s="72">
        <v>5360</v>
      </c>
      <c r="Q847" s="256">
        <f t="shared" si="159"/>
        <v>1179.2</v>
      </c>
      <c r="R847" s="256">
        <f t="shared" si="160"/>
        <v>6539.2</v>
      </c>
      <c r="S847" s="296"/>
      <c r="T847" s="3">
        <v>35</v>
      </c>
      <c r="U847" s="305"/>
    </row>
    <row r="848" spans="1:21" ht="29.5" customHeight="1" x14ac:dyDescent="0.35">
      <c r="A848" s="218" t="s">
        <v>3139</v>
      </c>
      <c r="B848" s="3">
        <v>810</v>
      </c>
      <c r="C848" s="45">
        <v>102001460</v>
      </c>
      <c r="D848" s="15" t="s">
        <v>645</v>
      </c>
      <c r="E848" s="18" t="s">
        <v>2236</v>
      </c>
      <c r="F848" s="12">
        <v>1</v>
      </c>
      <c r="G848" s="3" t="s">
        <v>0</v>
      </c>
      <c r="H848" s="5">
        <v>42004</v>
      </c>
      <c r="I848" s="30" t="s">
        <v>1003</v>
      </c>
      <c r="J848" s="4" t="s">
        <v>1962</v>
      </c>
      <c r="K848" s="14" t="s">
        <v>621</v>
      </c>
      <c r="L848" s="3" t="s">
        <v>871</v>
      </c>
      <c r="M848" s="72">
        <f t="shared" si="157"/>
        <v>24653.98</v>
      </c>
      <c r="N848" s="72">
        <f t="shared" si="161"/>
        <v>24653.98</v>
      </c>
      <c r="O848" s="72">
        <v>24653.98</v>
      </c>
      <c r="P848" s="72">
        <v>12280</v>
      </c>
      <c r="Q848" s="256">
        <f t="shared" ref="Q848:Q879" si="162">R848-P848</f>
        <v>2701.6</v>
      </c>
      <c r="R848" s="256">
        <f t="shared" ref="R848:R879" si="163">P848*1.22</f>
        <v>14981.6</v>
      </c>
      <c r="S848" s="296"/>
      <c r="T848" s="3">
        <v>35</v>
      </c>
      <c r="U848" s="305"/>
    </row>
    <row r="849" spans="1:21" ht="28.5" customHeight="1" x14ac:dyDescent="0.35">
      <c r="A849" s="218" t="s">
        <v>3140</v>
      </c>
      <c r="B849" s="3">
        <v>811</v>
      </c>
      <c r="C849" s="45">
        <v>10110093</v>
      </c>
      <c r="D849" s="2" t="s">
        <v>648</v>
      </c>
      <c r="E849" s="18" t="s">
        <v>2236</v>
      </c>
      <c r="F849" s="12">
        <v>1</v>
      </c>
      <c r="G849" s="3" t="s">
        <v>0</v>
      </c>
      <c r="H849" s="5">
        <v>42004</v>
      </c>
      <c r="I849" s="30" t="s">
        <v>1003</v>
      </c>
      <c r="J849" s="4" t="s">
        <v>1962</v>
      </c>
      <c r="K849" s="14" t="s">
        <v>622</v>
      </c>
      <c r="L849" s="3" t="s">
        <v>871</v>
      </c>
      <c r="M849" s="72">
        <f t="shared" si="157"/>
        <v>13006.18</v>
      </c>
      <c r="N849" s="72">
        <f t="shared" si="161"/>
        <v>13006.18</v>
      </c>
      <c r="O849" s="72">
        <v>13006.18</v>
      </c>
      <c r="P849" s="72">
        <v>6480</v>
      </c>
      <c r="Q849" s="256">
        <f t="shared" si="162"/>
        <v>1425.6</v>
      </c>
      <c r="R849" s="256">
        <f t="shared" si="163"/>
        <v>7905.6</v>
      </c>
      <c r="S849" s="296"/>
      <c r="T849" s="3">
        <v>35</v>
      </c>
      <c r="U849" s="305"/>
    </row>
    <row r="850" spans="1:21" ht="15" customHeight="1" x14ac:dyDescent="0.35">
      <c r="A850" s="218" t="s">
        <v>3141</v>
      </c>
      <c r="B850" s="3">
        <v>812</v>
      </c>
      <c r="C850" s="45">
        <v>10021462</v>
      </c>
      <c r="D850" s="2" t="s">
        <v>667</v>
      </c>
      <c r="E850" s="18" t="s">
        <v>2236</v>
      </c>
      <c r="F850" s="7">
        <v>2</v>
      </c>
      <c r="G850" s="3" t="s">
        <v>0</v>
      </c>
      <c r="H850" s="5">
        <v>42004</v>
      </c>
      <c r="I850" s="30" t="s">
        <v>1003</v>
      </c>
      <c r="J850" s="4" t="s">
        <v>1962</v>
      </c>
      <c r="K850" s="14" t="s">
        <v>798</v>
      </c>
      <c r="L850" s="3" t="s">
        <v>871</v>
      </c>
      <c r="M850" s="72">
        <f t="shared" si="157"/>
        <v>3799.99</v>
      </c>
      <c r="N850" s="72">
        <f t="shared" si="161"/>
        <v>1900</v>
      </c>
      <c r="O850" s="72">
        <v>3799.99</v>
      </c>
      <c r="P850" s="72">
        <v>1890</v>
      </c>
      <c r="Q850" s="256">
        <f t="shared" si="162"/>
        <v>415.8</v>
      </c>
      <c r="R850" s="256">
        <f t="shared" si="163"/>
        <v>2305.8000000000002</v>
      </c>
      <c r="S850" s="296"/>
      <c r="T850" s="3">
        <v>35</v>
      </c>
      <c r="U850" s="305"/>
    </row>
    <row r="851" spans="1:21" ht="15" customHeight="1" x14ac:dyDescent="0.35">
      <c r="A851" s="218" t="s">
        <v>3142</v>
      </c>
      <c r="B851" s="3">
        <v>813</v>
      </c>
      <c r="C851" s="45">
        <v>10016882</v>
      </c>
      <c r="D851" s="2" t="s">
        <v>670</v>
      </c>
      <c r="E851" s="18" t="s">
        <v>2236</v>
      </c>
      <c r="F851" s="12">
        <v>1</v>
      </c>
      <c r="G851" s="3" t="s">
        <v>0</v>
      </c>
      <c r="H851" s="5">
        <v>42004</v>
      </c>
      <c r="I851" s="30" t="s">
        <v>1003</v>
      </c>
      <c r="J851" s="4" t="s">
        <v>1962</v>
      </c>
      <c r="K851" s="14" t="s">
        <v>799</v>
      </c>
      <c r="L851" s="3" t="s">
        <v>871</v>
      </c>
      <c r="M851" s="72">
        <f t="shared" si="157"/>
        <v>9515.7999999999993</v>
      </c>
      <c r="N851" s="72">
        <f t="shared" si="161"/>
        <v>9515.7999999999993</v>
      </c>
      <c r="O851" s="72">
        <v>9515.7999999999993</v>
      </c>
      <c r="P851" s="72">
        <v>4740</v>
      </c>
      <c r="Q851" s="256">
        <f t="shared" si="162"/>
        <v>1042.8</v>
      </c>
      <c r="R851" s="256">
        <f t="shared" si="163"/>
        <v>5782.8</v>
      </c>
      <c r="S851" s="296"/>
      <c r="T851" s="3">
        <v>35</v>
      </c>
      <c r="U851" s="305"/>
    </row>
    <row r="852" spans="1:21" ht="15" customHeight="1" x14ac:dyDescent="0.35">
      <c r="A852" s="218" t="s">
        <v>3143</v>
      </c>
      <c r="B852" s="3">
        <v>814</v>
      </c>
      <c r="C852" s="45">
        <v>10123484</v>
      </c>
      <c r="D852" s="2" t="s">
        <v>680</v>
      </c>
      <c r="E852" s="18" t="s">
        <v>2236</v>
      </c>
      <c r="F852" s="12">
        <v>1</v>
      </c>
      <c r="G852" s="3" t="s">
        <v>0</v>
      </c>
      <c r="H852" s="5">
        <v>42004</v>
      </c>
      <c r="I852" s="30" t="s">
        <v>1003</v>
      </c>
      <c r="J852" s="4" t="s">
        <v>1962</v>
      </c>
      <c r="K852" s="14" t="s">
        <v>801</v>
      </c>
      <c r="L852" s="3" t="s">
        <v>871</v>
      </c>
      <c r="M852" s="72">
        <f t="shared" si="157"/>
        <v>25648</v>
      </c>
      <c r="N852" s="72">
        <f t="shared" si="161"/>
        <v>25648</v>
      </c>
      <c r="O852" s="72">
        <v>25648</v>
      </c>
      <c r="P852" s="72">
        <v>12770</v>
      </c>
      <c r="Q852" s="256">
        <f t="shared" si="162"/>
        <v>2809.4</v>
      </c>
      <c r="R852" s="256">
        <f t="shared" si="163"/>
        <v>15579.4</v>
      </c>
      <c r="S852" s="296"/>
      <c r="T852" s="3">
        <v>35</v>
      </c>
      <c r="U852" s="305"/>
    </row>
    <row r="853" spans="1:21" ht="15" customHeight="1" x14ac:dyDescent="0.35">
      <c r="A853" s="218" t="s">
        <v>3144</v>
      </c>
      <c r="B853" s="3">
        <v>815</v>
      </c>
      <c r="C853" s="45">
        <v>10123496</v>
      </c>
      <c r="D853" s="2" t="s">
        <v>25</v>
      </c>
      <c r="E853" s="18" t="s">
        <v>2236</v>
      </c>
      <c r="F853" s="12">
        <v>1</v>
      </c>
      <c r="G853" s="3" t="s">
        <v>0</v>
      </c>
      <c r="H853" s="5">
        <v>42004</v>
      </c>
      <c r="I853" s="30" t="s">
        <v>1003</v>
      </c>
      <c r="J853" s="4" t="s">
        <v>1962</v>
      </c>
      <c r="K853" s="14" t="s">
        <v>802</v>
      </c>
      <c r="L853" s="3" t="s">
        <v>871</v>
      </c>
      <c r="M853" s="72">
        <f t="shared" si="157"/>
        <v>25648</v>
      </c>
      <c r="N853" s="72">
        <f t="shared" si="161"/>
        <v>25648</v>
      </c>
      <c r="O853" s="72">
        <v>25648</v>
      </c>
      <c r="P853" s="72">
        <v>12770</v>
      </c>
      <c r="Q853" s="256">
        <f t="shared" si="162"/>
        <v>2809.4</v>
      </c>
      <c r="R853" s="256">
        <f t="shared" si="163"/>
        <v>15579.4</v>
      </c>
      <c r="S853" s="296"/>
      <c r="T853" s="3">
        <v>35</v>
      </c>
      <c r="U853" s="305"/>
    </row>
    <row r="854" spans="1:21" ht="15" customHeight="1" x14ac:dyDescent="0.35">
      <c r="A854" s="218" t="s">
        <v>3145</v>
      </c>
      <c r="B854" s="3">
        <v>816</v>
      </c>
      <c r="C854" s="45">
        <v>10097014</v>
      </c>
      <c r="D854" s="2" t="s">
        <v>682</v>
      </c>
      <c r="E854" s="18" t="s">
        <v>2236</v>
      </c>
      <c r="F854" s="12">
        <v>1</v>
      </c>
      <c r="G854" s="3" t="s">
        <v>0</v>
      </c>
      <c r="H854" s="5">
        <v>42004</v>
      </c>
      <c r="I854" s="30" t="s">
        <v>1003</v>
      </c>
      <c r="J854" s="4" t="s">
        <v>1962</v>
      </c>
      <c r="K854" s="14" t="s">
        <v>805</v>
      </c>
      <c r="L854" s="3" t="s">
        <v>871</v>
      </c>
      <c r="M854" s="72">
        <f t="shared" si="157"/>
        <v>10883</v>
      </c>
      <c r="N854" s="72">
        <f t="shared" si="161"/>
        <v>10883</v>
      </c>
      <c r="O854" s="72">
        <v>10883</v>
      </c>
      <c r="P854" s="72">
        <v>6450</v>
      </c>
      <c r="Q854" s="256">
        <f t="shared" si="162"/>
        <v>1419</v>
      </c>
      <c r="R854" s="256">
        <f t="shared" si="163"/>
        <v>7869</v>
      </c>
      <c r="S854" s="296"/>
      <c r="T854" s="3">
        <v>35</v>
      </c>
      <c r="U854" s="305"/>
    </row>
    <row r="855" spans="1:21" ht="15" customHeight="1" x14ac:dyDescent="0.35">
      <c r="A855" s="218" t="s">
        <v>3146</v>
      </c>
      <c r="B855" s="3">
        <v>817</v>
      </c>
      <c r="C855" s="45">
        <v>10019858</v>
      </c>
      <c r="D855" s="2" t="s">
        <v>689</v>
      </c>
      <c r="E855" s="18" t="s">
        <v>2236</v>
      </c>
      <c r="F855" s="12">
        <v>1</v>
      </c>
      <c r="G855" s="3" t="s">
        <v>0</v>
      </c>
      <c r="H855" s="5">
        <v>42004</v>
      </c>
      <c r="I855" s="30" t="s">
        <v>1003</v>
      </c>
      <c r="J855" s="4" t="s">
        <v>1962</v>
      </c>
      <c r="K855" s="14" t="s">
        <v>809</v>
      </c>
      <c r="L855" s="3" t="s">
        <v>871</v>
      </c>
      <c r="M855" s="72">
        <f t="shared" ref="M855:M915" si="164">O855</f>
        <v>2418.89</v>
      </c>
      <c r="N855" s="72">
        <f t="shared" si="161"/>
        <v>2418.89</v>
      </c>
      <c r="O855" s="72">
        <v>2418.89</v>
      </c>
      <c r="P855" s="72">
        <v>1200</v>
      </c>
      <c r="Q855" s="256">
        <f t="shared" si="162"/>
        <v>264</v>
      </c>
      <c r="R855" s="256">
        <f t="shared" si="163"/>
        <v>1464</v>
      </c>
      <c r="S855" s="296"/>
      <c r="T855" s="3">
        <v>35</v>
      </c>
      <c r="U855" s="305"/>
    </row>
    <row r="856" spans="1:21" ht="15" customHeight="1" x14ac:dyDescent="0.35">
      <c r="A856" s="218" t="s">
        <v>3147</v>
      </c>
      <c r="B856" s="3">
        <v>818</v>
      </c>
      <c r="C856" s="45">
        <v>10019863</v>
      </c>
      <c r="D856" s="2" t="s">
        <v>690</v>
      </c>
      <c r="E856" s="18" t="s">
        <v>2236</v>
      </c>
      <c r="F856" s="12">
        <v>1</v>
      </c>
      <c r="G856" s="3" t="s">
        <v>0</v>
      </c>
      <c r="H856" s="5">
        <v>42004</v>
      </c>
      <c r="I856" s="30" t="s">
        <v>1003</v>
      </c>
      <c r="J856" s="4" t="s">
        <v>1962</v>
      </c>
      <c r="K856" s="14" t="s">
        <v>810</v>
      </c>
      <c r="L856" s="3" t="s">
        <v>871</v>
      </c>
      <c r="M856" s="72">
        <f t="shared" si="164"/>
        <v>2418.89</v>
      </c>
      <c r="N856" s="72">
        <f t="shared" si="161"/>
        <v>2418.89</v>
      </c>
      <c r="O856" s="72">
        <v>2418.89</v>
      </c>
      <c r="P856" s="72">
        <v>1200</v>
      </c>
      <c r="Q856" s="256">
        <f t="shared" si="162"/>
        <v>264</v>
      </c>
      <c r="R856" s="256">
        <f t="shared" si="163"/>
        <v>1464</v>
      </c>
      <c r="S856" s="296"/>
      <c r="T856" s="3">
        <v>35</v>
      </c>
      <c r="U856" s="305"/>
    </row>
    <row r="857" spans="1:21" ht="15" customHeight="1" x14ac:dyDescent="0.35">
      <c r="A857" s="218" t="s">
        <v>3148</v>
      </c>
      <c r="B857" s="3">
        <v>819</v>
      </c>
      <c r="C857" s="45">
        <v>10021614</v>
      </c>
      <c r="D857" s="2" t="s">
        <v>692</v>
      </c>
      <c r="E857" s="18" t="s">
        <v>2236</v>
      </c>
      <c r="F857" s="12">
        <v>1</v>
      </c>
      <c r="G857" s="3" t="s">
        <v>0</v>
      </c>
      <c r="H857" s="5">
        <v>42004</v>
      </c>
      <c r="I857" s="30" t="s">
        <v>1003</v>
      </c>
      <c r="J857" s="4" t="s">
        <v>1962</v>
      </c>
      <c r="K857" s="14" t="s">
        <v>811</v>
      </c>
      <c r="L857" s="3" t="s">
        <v>871</v>
      </c>
      <c r="M857" s="72">
        <f t="shared" si="164"/>
        <v>4699.16</v>
      </c>
      <c r="N857" s="72">
        <f t="shared" si="161"/>
        <v>4699.16</v>
      </c>
      <c r="O857" s="72">
        <v>4699.16</v>
      </c>
      <c r="P857" s="72">
        <v>2340</v>
      </c>
      <c r="Q857" s="256">
        <f t="shared" si="162"/>
        <v>514.79999999999995</v>
      </c>
      <c r="R857" s="256">
        <f t="shared" si="163"/>
        <v>2854.8</v>
      </c>
      <c r="S857" s="296"/>
      <c r="T857" s="3">
        <v>35</v>
      </c>
      <c r="U857" s="305"/>
    </row>
    <row r="858" spans="1:21" ht="15" customHeight="1" x14ac:dyDescent="0.35">
      <c r="A858" s="218" t="s">
        <v>3149</v>
      </c>
      <c r="B858" s="3">
        <v>820</v>
      </c>
      <c r="C858" s="45">
        <v>102002026</v>
      </c>
      <c r="D858" s="15" t="s">
        <v>549</v>
      </c>
      <c r="E858" s="18" t="s">
        <v>711</v>
      </c>
      <c r="F858" s="12">
        <v>1</v>
      </c>
      <c r="G858" s="3" t="s">
        <v>0</v>
      </c>
      <c r="H858" s="5">
        <v>42004</v>
      </c>
      <c r="I858" s="30" t="s">
        <v>1003</v>
      </c>
      <c r="J858" s="4" t="s">
        <v>1962</v>
      </c>
      <c r="K858" s="14" t="s">
        <v>816</v>
      </c>
      <c r="L858" s="3" t="s">
        <v>871</v>
      </c>
      <c r="M858" s="72">
        <f t="shared" si="164"/>
        <v>103554</v>
      </c>
      <c r="N858" s="72">
        <f t="shared" si="161"/>
        <v>103554</v>
      </c>
      <c r="O858" s="72">
        <v>103554</v>
      </c>
      <c r="P858" s="72">
        <v>51560</v>
      </c>
      <c r="Q858" s="256">
        <f t="shared" si="162"/>
        <v>11343.2</v>
      </c>
      <c r="R858" s="256">
        <f t="shared" si="163"/>
        <v>62903.199999999997</v>
      </c>
      <c r="S858" s="296"/>
      <c r="T858" s="3">
        <v>35</v>
      </c>
      <c r="U858" s="305"/>
    </row>
    <row r="859" spans="1:21" ht="15" customHeight="1" x14ac:dyDescent="0.35">
      <c r="A859" s="218" t="s">
        <v>3150</v>
      </c>
      <c r="B859" s="3">
        <v>821</v>
      </c>
      <c r="C859" s="45">
        <v>10108564</v>
      </c>
      <c r="D859" s="2" t="s">
        <v>273</v>
      </c>
      <c r="E859" s="18" t="s">
        <v>711</v>
      </c>
      <c r="F859" s="7">
        <v>2</v>
      </c>
      <c r="G859" s="3" t="s">
        <v>0</v>
      </c>
      <c r="H859" s="5">
        <v>42004</v>
      </c>
      <c r="I859" s="30" t="s">
        <v>1003</v>
      </c>
      <c r="J859" s="4" t="s">
        <v>1962</v>
      </c>
      <c r="K859" s="14" t="s">
        <v>818</v>
      </c>
      <c r="L859" s="3" t="s">
        <v>871</v>
      </c>
      <c r="M859" s="72">
        <f t="shared" si="164"/>
        <v>76548.160000000003</v>
      </c>
      <c r="N859" s="72">
        <f t="shared" si="161"/>
        <v>38274.080000000002</v>
      </c>
      <c r="O859" s="72">
        <v>76548.160000000003</v>
      </c>
      <c r="P859" s="72">
        <v>33580</v>
      </c>
      <c r="Q859" s="256">
        <f t="shared" si="162"/>
        <v>7387.6</v>
      </c>
      <c r="R859" s="256">
        <f t="shared" si="163"/>
        <v>40967.599999999999</v>
      </c>
      <c r="S859" s="296"/>
      <c r="T859" s="3">
        <v>35</v>
      </c>
      <c r="U859" s="305"/>
    </row>
    <row r="860" spans="1:21" ht="15" customHeight="1" x14ac:dyDescent="0.35">
      <c r="A860" s="218" t="s">
        <v>3151</v>
      </c>
      <c r="B860" s="3">
        <v>822</v>
      </c>
      <c r="C860" s="45">
        <v>102000478</v>
      </c>
      <c r="D860" s="15" t="s">
        <v>555</v>
      </c>
      <c r="E860" s="18" t="s">
        <v>711</v>
      </c>
      <c r="F860" s="12">
        <v>1</v>
      </c>
      <c r="G860" s="3" t="s">
        <v>0</v>
      </c>
      <c r="H860" s="5">
        <v>42004</v>
      </c>
      <c r="I860" s="30" t="s">
        <v>1003</v>
      </c>
      <c r="J860" s="4" t="s">
        <v>1962</v>
      </c>
      <c r="K860" s="14" t="s">
        <v>819</v>
      </c>
      <c r="L860" s="3" t="s">
        <v>871</v>
      </c>
      <c r="M860" s="72">
        <f t="shared" si="164"/>
        <v>253600</v>
      </c>
      <c r="N860" s="72">
        <f t="shared" si="161"/>
        <v>253600</v>
      </c>
      <c r="O860" s="72">
        <v>253600</v>
      </c>
      <c r="P860" s="72">
        <v>126270</v>
      </c>
      <c r="Q860" s="256">
        <f t="shared" si="162"/>
        <v>27779.4</v>
      </c>
      <c r="R860" s="256">
        <f t="shared" si="163"/>
        <v>154049.4</v>
      </c>
      <c r="S860" s="296"/>
      <c r="T860" s="3">
        <v>35</v>
      </c>
      <c r="U860" s="305"/>
    </row>
    <row r="861" spans="1:21" ht="15" customHeight="1" x14ac:dyDescent="0.35">
      <c r="A861" s="218" t="s">
        <v>3152</v>
      </c>
      <c r="B861" s="3">
        <v>823</v>
      </c>
      <c r="C861" s="45">
        <v>102001362</v>
      </c>
      <c r="D861" s="15" t="s">
        <v>556</v>
      </c>
      <c r="E861" s="18" t="s">
        <v>711</v>
      </c>
      <c r="F861" s="12">
        <v>1</v>
      </c>
      <c r="G861" s="3" t="s">
        <v>0</v>
      </c>
      <c r="H861" s="5">
        <v>42004</v>
      </c>
      <c r="I861" s="30" t="s">
        <v>1003</v>
      </c>
      <c r="J861" s="4" t="s">
        <v>1962</v>
      </c>
      <c r="K861" s="14" t="s">
        <v>820</v>
      </c>
      <c r="L861" s="3" t="s">
        <v>871</v>
      </c>
      <c r="M861" s="72">
        <f t="shared" si="164"/>
        <v>458601.12</v>
      </c>
      <c r="N861" s="72">
        <f t="shared" si="161"/>
        <v>458601.12</v>
      </c>
      <c r="O861" s="72">
        <v>458601.12</v>
      </c>
      <c r="P861" s="72">
        <v>219040</v>
      </c>
      <c r="Q861" s="256">
        <f t="shared" si="162"/>
        <v>48188.800000000003</v>
      </c>
      <c r="R861" s="256">
        <f t="shared" si="163"/>
        <v>267228.79999999999</v>
      </c>
      <c r="S861" s="296"/>
      <c r="T861" s="3">
        <v>35</v>
      </c>
      <c r="U861" s="305"/>
    </row>
    <row r="862" spans="1:21" ht="15" customHeight="1" x14ac:dyDescent="0.35">
      <c r="A862" s="218" t="s">
        <v>3153</v>
      </c>
      <c r="B862" s="3">
        <v>824</v>
      </c>
      <c r="C862" s="45">
        <v>10110439</v>
      </c>
      <c r="D862" s="2" t="s">
        <v>560</v>
      </c>
      <c r="E862" s="18" t="s">
        <v>711</v>
      </c>
      <c r="F862" s="7">
        <v>13</v>
      </c>
      <c r="G862" s="3" t="s">
        <v>0</v>
      </c>
      <c r="H862" s="5">
        <v>42004</v>
      </c>
      <c r="I862" s="30" t="s">
        <v>1003</v>
      </c>
      <c r="J862" s="4" t="s">
        <v>1962</v>
      </c>
      <c r="K862" s="14" t="s">
        <v>821</v>
      </c>
      <c r="L862" s="3" t="s">
        <v>871</v>
      </c>
      <c r="M862" s="72">
        <f t="shared" si="164"/>
        <v>12881.15</v>
      </c>
      <c r="N862" s="72">
        <f t="shared" si="161"/>
        <v>990.86</v>
      </c>
      <c r="O862" s="72">
        <v>12881.15</v>
      </c>
      <c r="P862" s="72">
        <v>6410</v>
      </c>
      <c r="Q862" s="256">
        <f t="shared" si="162"/>
        <v>1410.2</v>
      </c>
      <c r="R862" s="256">
        <f t="shared" si="163"/>
        <v>7820.2</v>
      </c>
      <c r="S862" s="296"/>
      <c r="T862" s="3">
        <v>35</v>
      </c>
      <c r="U862" s="305"/>
    </row>
    <row r="863" spans="1:21" ht="15" customHeight="1" x14ac:dyDescent="0.35">
      <c r="A863" s="218" t="s">
        <v>3154</v>
      </c>
      <c r="B863" s="3">
        <v>825</v>
      </c>
      <c r="C863" s="45">
        <v>10003058</v>
      </c>
      <c r="D863" s="2" t="s">
        <v>567</v>
      </c>
      <c r="E863" s="18" t="s">
        <v>711</v>
      </c>
      <c r="F863" s="12">
        <v>1</v>
      </c>
      <c r="G863" s="3" t="s">
        <v>0</v>
      </c>
      <c r="H863" s="5">
        <v>42004</v>
      </c>
      <c r="I863" s="30" t="s">
        <v>1003</v>
      </c>
      <c r="J863" s="4" t="s">
        <v>1962</v>
      </c>
      <c r="K863" s="14" t="s">
        <v>822</v>
      </c>
      <c r="L863" s="3" t="s">
        <v>871</v>
      </c>
      <c r="M863" s="72">
        <f t="shared" si="164"/>
        <v>3139.75</v>
      </c>
      <c r="N863" s="72">
        <f t="shared" si="161"/>
        <v>3139.75</v>
      </c>
      <c r="O863" s="72">
        <v>3139.75</v>
      </c>
      <c r="P863" s="72">
        <v>1560</v>
      </c>
      <c r="Q863" s="256">
        <f t="shared" si="162"/>
        <v>343.2</v>
      </c>
      <c r="R863" s="256">
        <f t="shared" si="163"/>
        <v>1903.2</v>
      </c>
      <c r="S863" s="296"/>
      <c r="T863" s="3">
        <v>35</v>
      </c>
      <c r="U863" s="305"/>
    </row>
    <row r="864" spans="1:21" ht="15" customHeight="1" x14ac:dyDescent="0.35">
      <c r="A864" s="218" t="s">
        <v>3155</v>
      </c>
      <c r="B864" s="3">
        <v>826</v>
      </c>
      <c r="C864" s="45">
        <v>102002038</v>
      </c>
      <c r="D864" s="15" t="s">
        <v>583</v>
      </c>
      <c r="E864" s="18" t="s">
        <v>711</v>
      </c>
      <c r="F864" s="12">
        <v>1</v>
      </c>
      <c r="G864" s="3" t="s">
        <v>0</v>
      </c>
      <c r="H864" s="5">
        <v>42004</v>
      </c>
      <c r="I864" s="30" t="s">
        <v>1003</v>
      </c>
      <c r="J864" s="4" t="s">
        <v>1962</v>
      </c>
      <c r="K864" s="14" t="s">
        <v>826</v>
      </c>
      <c r="L864" s="3" t="s">
        <v>871</v>
      </c>
      <c r="M864" s="72">
        <f t="shared" si="164"/>
        <v>24181.65</v>
      </c>
      <c r="N864" s="72">
        <f t="shared" si="161"/>
        <v>24181.65</v>
      </c>
      <c r="O864" s="72">
        <v>24181.65</v>
      </c>
      <c r="P864" s="72">
        <v>12040</v>
      </c>
      <c r="Q864" s="256">
        <f t="shared" si="162"/>
        <v>2648.8</v>
      </c>
      <c r="R864" s="256">
        <f t="shared" si="163"/>
        <v>14688.8</v>
      </c>
      <c r="S864" s="296"/>
      <c r="T864" s="3">
        <v>35</v>
      </c>
      <c r="U864" s="305"/>
    </row>
    <row r="865" spans="1:21" ht="15" customHeight="1" x14ac:dyDescent="0.35">
      <c r="A865" s="218" t="s">
        <v>3156</v>
      </c>
      <c r="B865" s="3">
        <v>827</v>
      </c>
      <c r="C865" s="45">
        <v>10020524</v>
      </c>
      <c r="D865" s="2" t="s">
        <v>601</v>
      </c>
      <c r="E865" s="18" t="s">
        <v>711</v>
      </c>
      <c r="F865" s="7">
        <v>2</v>
      </c>
      <c r="G865" s="3" t="s">
        <v>0</v>
      </c>
      <c r="H865" s="5">
        <v>42004</v>
      </c>
      <c r="I865" s="30" t="s">
        <v>1003</v>
      </c>
      <c r="J865" s="4" t="s">
        <v>1962</v>
      </c>
      <c r="K865" s="14" t="s">
        <v>827</v>
      </c>
      <c r="L865" s="3" t="s">
        <v>871</v>
      </c>
      <c r="M865" s="72">
        <f t="shared" si="164"/>
        <v>9163.36</v>
      </c>
      <c r="N865" s="72">
        <f t="shared" si="161"/>
        <v>4581.68</v>
      </c>
      <c r="O865" s="72">
        <v>9163.36</v>
      </c>
      <c r="P865" s="72">
        <v>4560</v>
      </c>
      <c r="Q865" s="256">
        <f t="shared" si="162"/>
        <v>1003.2</v>
      </c>
      <c r="R865" s="256">
        <f t="shared" si="163"/>
        <v>5563.2</v>
      </c>
      <c r="S865" s="296"/>
      <c r="T865" s="3">
        <v>35</v>
      </c>
      <c r="U865" s="305"/>
    </row>
    <row r="866" spans="1:21" ht="15" customHeight="1" x14ac:dyDescent="0.35">
      <c r="A866" s="218" t="s">
        <v>3157</v>
      </c>
      <c r="B866" s="3">
        <v>828</v>
      </c>
      <c r="C866" s="45">
        <v>10138587</v>
      </c>
      <c r="D866" s="2" t="s">
        <v>620</v>
      </c>
      <c r="E866" s="18" t="s">
        <v>711</v>
      </c>
      <c r="F866" s="12">
        <v>1</v>
      </c>
      <c r="G866" s="3" t="s">
        <v>0</v>
      </c>
      <c r="H866" s="5">
        <v>42004</v>
      </c>
      <c r="I866" s="30" t="s">
        <v>1003</v>
      </c>
      <c r="J866" s="4" t="s">
        <v>1962</v>
      </c>
      <c r="K866" s="14" t="s">
        <v>834</v>
      </c>
      <c r="L866" s="3" t="s">
        <v>871</v>
      </c>
      <c r="M866" s="72">
        <f t="shared" si="164"/>
        <v>21380</v>
      </c>
      <c r="N866" s="72">
        <f t="shared" si="161"/>
        <v>21380</v>
      </c>
      <c r="O866" s="72">
        <v>21380</v>
      </c>
      <c r="P866" s="72">
        <v>10650</v>
      </c>
      <c r="Q866" s="256">
        <f t="shared" si="162"/>
        <v>2343</v>
      </c>
      <c r="R866" s="256">
        <f t="shared" si="163"/>
        <v>12993</v>
      </c>
      <c r="S866" s="296"/>
      <c r="T866" s="3">
        <v>35</v>
      </c>
      <c r="U866" s="305"/>
    </row>
    <row r="867" spans="1:21" ht="15" customHeight="1" x14ac:dyDescent="0.35">
      <c r="A867" s="218" t="s">
        <v>3158</v>
      </c>
      <c r="B867" s="3">
        <v>829</v>
      </c>
      <c r="C867" s="45">
        <v>102001496</v>
      </c>
      <c r="D867" s="15" t="s">
        <v>621</v>
      </c>
      <c r="E867" s="18" t="s">
        <v>711</v>
      </c>
      <c r="F867" s="12">
        <v>1</v>
      </c>
      <c r="G867" s="3" t="s">
        <v>0</v>
      </c>
      <c r="H867" s="5">
        <v>42004</v>
      </c>
      <c r="I867" s="30" t="s">
        <v>1003</v>
      </c>
      <c r="J867" s="4" t="s">
        <v>1962</v>
      </c>
      <c r="K867" s="14" t="s">
        <v>835</v>
      </c>
      <c r="L867" s="3" t="s">
        <v>871</v>
      </c>
      <c r="M867" s="72">
        <f t="shared" si="164"/>
        <v>22892.44</v>
      </c>
      <c r="N867" s="72">
        <f t="shared" si="161"/>
        <v>22892.44</v>
      </c>
      <c r="O867" s="72">
        <v>22892.44</v>
      </c>
      <c r="P867" s="72">
        <v>11400</v>
      </c>
      <c r="Q867" s="256">
        <f t="shared" si="162"/>
        <v>2508</v>
      </c>
      <c r="R867" s="256">
        <f t="shared" si="163"/>
        <v>13908</v>
      </c>
      <c r="S867" s="296"/>
      <c r="T867" s="3">
        <v>35</v>
      </c>
      <c r="U867" s="305"/>
    </row>
    <row r="868" spans="1:21" ht="15" customHeight="1" x14ac:dyDescent="0.35">
      <c r="A868" s="218" t="s">
        <v>3159</v>
      </c>
      <c r="B868" s="3">
        <v>830</v>
      </c>
      <c r="C868" s="45">
        <v>102001193</v>
      </c>
      <c r="D868" s="15" t="s">
        <v>622</v>
      </c>
      <c r="E868" s="18" t="s">
        <v>711</v>
      </c>
      <c r="F868" s="12">
        <v>1</v>
      </c>
      <c r="G868" s="3" t="s">
        <v>0</v>
      </c>
      <c r="H868" s="5">
        <v>42004</v>
      </c>
      <c r="I868" s="30" t="s">
        <v>1003</v>
      </c>
      <c r="J868" s="4" t="s">
        <v>1962</v>
      </c>
      <c r="K868" s="14" t="s">
        <v>668</v>
      </c>
      <c r="L868" s="3" t="s">
        <v>871</v>
      </c>
      <c r="M868" s="72">
        <f t="shared" si="164"/>
        <v>21263.69</v>
      </c>
      <c r="N868" s="72">
        <f t="shared" si="161"/>
        <v>21263.69</v>
      </c>
      <c r="O868" s="72">
        <v>21263.69</v>
      </c>
      <c r="P868" s="72">
        <v>10590</v>
      </c>
      <c r="Q868" s="256">
        <f t="shared" si="162"/>
        <v>2329.8000000000002</v>
      </c>
      <c r="R868" s="256">
        <f t="shared" si="163"/>
        <v>12919.8</v>
      </c>
      <c r="S868" s="296"/>
      <c r="T868" s="3">
        <v>35</v>
      </c>
      <c r="U868" s="305"/>
    </row>
    <row r="869" spans="1:21" ht="45" customHeight="1" x14ac:dyDescent="0.35">
      <c r="A869" s="218" t="s">
        <v>3160</v>
      </c>
      <c r="B869" s="3">
        <v>831</v>
      </c>
      <c r="C869" s="45">
        <v>102002116</v>
      </c>
      <c r="D869" s="15" t="s">
        <v>623</v>
      </c>
      <c r="E869" s="18" t="s">
        <v>711</v>
      </c>
      <c r="F869" s="12">
        <v>1</v>
      </c>
      <c r="G869" s="3" t="s">
        <v>0</v>
      </c>
      <c r="H869" s="5">
        <v>42004</v>
      </c>
      <c r="I869" s="30" t="s">
        <v>1003</v>
      </c>
      <c r="J869" s="4" t="s">
        <v>1962</v>
      </c>
      <c r="K869" s="14" t="s">
        <v>836</v>
      </c>
      <c r="L869" s="3" t="s">
        <v>871</v>
      </c>
      <c r="M869" s="72">
        <f t="shared" si="164"/>
        <v>34450</v>
      </c>
      <c r="N869" s="72">
        <f t="shared" si="161"/>
        <v>34450</v>
      </c>
      <c r="O869" s="72">
        <v>34450</v>
      </c>
      <c r="P869" s="72">
        <v>17150</v>
      </c>
      <c r="Q869" s="256">
        <f t="shared" si="162"/>
        <v>3773</v>
      </c>
      <c r="R869" s="256">
        <f t="shared" si="163"/>
        <v>20923</v>
      </c>
      <c r="S869" s="296"/>
      <c r="T869" s="3">
        <v>35</v>
      </c>
      <c r="U869" s="305"/>
    </row>
    <row r="870" spans="1:21" ht="15" customHeight="1" x14ac:dyDescent="0.35">
      <c r="A870" s="218" t="s">
        <v>3161</v>
      </c>
      <c r="B870" s="3">
        <v>832</v>
      </c>
      <c r="C870" s="45">
        <v>102000734</v>
      </c>
      <c r="D870" s="15" t="s">
        <v>624</v>
      </c>
      <c r="E870" s="18" t="s">
        <v>711</v>
      </c>
      <c r="F870" s="12">
        <v>1</v>
      </c>
      <c r="G870" s="3" t="s">
        <v>0</v>
      </c>
      <c r="H870" s="5">
        <v>42004</v>
      </c>
      <c r="I870" s="30" t="s">
        <v>1003</v>
      </c>
      <c r="J870" s="4" t="s">
        <v>1962</v>
      </c>
      <c r="K870" s="14" t="s">
        <v>837</v>
      </c>
      <c r="L870" s="3" t="s">
        <v>871</v>
      </c>
      <c r="M870" s="72">
        <f t="shared" si="164"/>
        <v>30844.400000000001</v>
      </c>
      <c r="N870" s="72">
        <f t="shared" si="161"/>
        <v>30844.400000000001</v>
      </c>
      <c r="O870" s="72">
        <v>30844.400000000001</v>
      </c>
      <c r="P870" s="72">
        <v>15360</v>
      </c>
      <c r="Q870" s="256">
        <f t="shared" si="162"/>
        <v>3379.2</v>
      </c>
      <c r="R870" s="256">
        <f t="shared" si="163"/>
        <v>18739.2</v>
      </c>
      <c r="S870" s="296"/>
      <c r="T870" s="3">
        <v>35</v>
      </c>
      <c r="U870" s="305"/>
    </row>
    <row r="871" spans="1:21" ht="15" customHeight="1" x14ac:dyDescent="0.35">
      <c r="A871" s="218" t="s">
        <v>3162</v>
      </c>
      <c r="B871" s="3">
        <v>833</v>
      </c>
      <c r="C871" s="45">
        <v>10088965</v>
      </c>
      <c r="D871" s="2" t="s">
        <v>628</v>
      </c>
      <c r="E871" s="18" t="s">
        <v>711</v>
      </c>
      <c r="F871" s="7">
        <v>3</v>
      </c>
      <c r="G871" s="3" t="s">
        <v>0</v>
      </c>
      <c r="H871" s="5">
        <v>42004</v>
      </c>
      <c r="I871" s="30" t="s">
        <v>1003</v>
      </c>
      <c r="J871" s="4" t="s">
        <v>1962</v>
      </c>
      <c r="K871" s="14" t="s">
        <v>838</v>
      </c>
      <c r="L871" s="3" t="s">
        <v>871</v>
      </c>
      <c r="M871" s="72">
        <f t="shared" si="164"/>
        <v>52336.86</v>
      </c>
      <c r="N871" s="72">
        <f t="shared" si="161"/>
        <v>17445.62</v>
      </c>
      <c r="O871" s="72">
        <v>52336.86</v>
      </c>
      <c r="P871" s="72">
        <v>26060</v>
      </c>
      <c r="Q871" s="256">
        <f t="shared" si="162"/>
        <v>5733.2</v>
      </c>
      <c r="R871" s="256">
        <f t="shared" si="163"/>
        <v>31793.200000000001</v>
      </c>
      <c r="S871" s="296"/>
      <c r="T871" s="3">
        <v>35</v>
      </c>
      <c r="U871" s="305"/>
    </row>
    <row r="872" spans="1:21" ht="30" customHeight="1" x14ac:dyDescent="0.35">
      <c r="A872" s="218" t="s">
        <v>3163</v>
      </c>
      <c r="B872" s="3">
        <v>834</v>
      </c>
      <c r="C872" s="45">
        <v>10020444</v>
      </c>
      <c r="D872" s="2" t="s">
        <v>629</v>
      </c>
      <c r="E872" s="18" t="s">
        <v>711</v>
      </c>
      <c r="F872" s="12">
        <v>1</v>
      </c>
      <c r="G872" s="3" t="s">
        <v>0</v>
      </c>
      <c r="H872" s="5">
        <v>42004</v>
      </c>
      <c r="I872" s="30" t="s">
        <v>1003</v>
      </c>
      <c r="J872" s="4" t="s">
        <v>1962</v>
      </c>
      <c r="K872" s="14" t="s">
        <v>839</v>
      </c>
      <c r="L872" s="3" t="s">
        <v>871</v>
      </c>
      <c r="M872" s="72">
        <f t="shared" si="164"/>
        <v>10966.98</v>
      </c>
      <c r="N872" s="72">
        <f t="shared" si="161"/>
        <v>10966.98</v>
      </c>
      <c r="O872" s="72">
        <v>10966.98</v>
      </c>
      <c r="P872" s="72">
        <v>5460</v>
      </c>
      <c r="Q872" s="256">
        <f t="shared" si="162"/>
        <v>1201.2</v>
      </c>
      <c r="R872" s="256">
        <f t="shared" si="163"/>
        <v>6661.2</v>
      </c>
      <c r="S872" s="296"/>
      <c r="T872" s="3">
        <v>35</v>
      </c>
      <c r="U872" s="305"/>
    </row>
    <row r="873" spans="1:21" ht="30" customHeight="1" x14ac:dyDescent="0.35">
      <c r="A873" s="218" t="s">
        <v>3164</v>
      </c>
      <c r="B873" s="3">
        <v>835</v>
      </c>
      <c r="C873" s="45">
        <v>102001203</v>
      </c>
      <c r="D873" s="15" t="s">
        <v>631</v>
      </c>
      <c r="E873" s="18" t="s">
        <v>711</v>
      </c>
      <c r="F873" s="7">
        <v>2</v>
      </c>
      <c r="G873" s="3" t="s">
        <v>0</v>
      </c>
      <c r="H873" s="5">
        <v>42004</v>
      </c>
      <c r="I873" s="30" t="s">
        <v>1003</v>
      </c>
      <c r="J873" s="4" t="s">
        <v>1962</v>
      </c>
      <c r="K873" s="14" t="s">
        <v>840</v>
      </c>
      <c r="L873" s="3" t="s">
        <v>871</v>
      </c>
      <c r="M873" s="72">
        <f t="shared" si="164"/>
        <v>88200</v>
      </c>
      <c r="N873" s="72">
        <f t="shared" si="161"/>
        <v>44100</v>
      </c>
      <c r="O873" s="72">
        <v>88200</v>
      </c>
      <c r="P873" s="72">
        <v>43920</v>
      </c>
      <c r="Q873" s="256">
        <f t="shared" si="162"/>
        <v>9662.4</v>
      </c>
      <c r="R873" s="256">
        <f t="shared" si="163"/>
        <v>53582.400000000001</v>
      </c>
      <c r="S873" s="296"/>
      <c r="T873" s="3">
        <v>35</v>
      </c>
      <c r="U873" s="305"/>
    </row>
    <row r="874" spans="1:21" ht="45" customHeight="1" x14ac:dyDescent="0.35">
      <c r="A874" s="218" t="s">
        <v>3165</v>
      </c>
      <c r="B874" s="3">
        <v>836</v>
      </c>
      <c r="C874" s="45">
        <v>10145285</v>
      </c>
      <c r="D874" s="2" t="s">
        <v>231</v>
      </c>
      <c r="E874" s="18" t="s">
        <v>711</v>
      </c>
      <c r="F874" s="12">
        <v>1</v>
      </c>
      <c r="G874" s="3" t="s">
        <v>0</v>
      </c>
      <c r="H874" s="5">
        <v>42004</v>
      </c>
      <c r="I874" s="30" t="s">
        <v>1003</v>
      </c>
      <c r="J874" s="4" t="s">
        <v>1962</v>
      </c>
      <c r="K874" s="14" t="s">
        <v>841</v>
      </c>
      <c r="L874" s="3" t="s">
        <v>871</v>
      </c>
      <c r="M874" s="72">
        <f t="shared" si="164"/>
        <v>99600</v>
      </c>
      <c r="N874" s="72">
        <f t="shared" si="161"/>
        <v>99600</v>
      </c>
      <c r="O874" s="72">
        <v>99600</v>
      </c>
      <c r="P874" s="72">
        <v>49590</v>
      </c>
      <c r="Q874" s="256">
        <f t="shared" si="162"/>
        <v>10909.8</v>
      </c>
      <c r="R874" s="256">
        <f t="shared" si="163"/>
        <v>60499.8</v>
      </c>
      <c r="S874" s="296"/>
      <c r="T874" s="3">
        <v>35</v>
      </c>
      <c r="U874" s="305"/>
    </row>
    <row r="875" spans="1:21" ht="33.75" customHeight="1" x14ac:dyDescent="0.35">
      <c r="A875" s="218" t="s">
        <v>3166</v>
      </c>
      <c r="B875" s="3">
        <v>837</v>
      </c>
      <c r="C875" s="45">
        <v>102001450</v>
      </c>
      <c r="D875" s="15" t="s">
        <v>637</v>
      </c>
      <c r="E875" s="18" t="s">
        <v>711</v>
      </c>
      <c r="F875" s="7">
        <v>2</v>
      </c>
      <c r="G875" s="3" t="s">
        <v>0</v>
      </c>
      <c r="H875" s="5">
        <v>42004</v>
      </c>
      <c r="I875" s="30" t="s">
        <v>1003</v>
      </c>
      <c r="J875" s="4" t="s">
        <v>1962</v>
      </c>
      <c r="K875" s="14" t="s">
        <v>842</v>
      </c>
      <c r="L875" s="3" t="s">
        <v>871</v>
      </c>
      <c r="M875" s="72">
        <f t="shared" si="164"/>
        <v>156709.79999999999</v>
      </c>
      <c r="N875" s="72">
        <f t="shared" ref="N875:N901" si="165">O875/F875</f>
        <v>78354.899999999994</v>
      </c>
      <c r="O875" s="72">
        <v>156709.79999999999</v>
      </c>
      <c r="P875" s="72">
        <v>78570</v>
      </c>
      <c r="Q875" s="256">
        <f t="shared" si="162"/>
        <v>17285.400000000001</v>
      </c>
      <c r="R875" s="256">
        <f t="shared" si="163"/>
        <v>95855.4</v>
      </c>
      <c r="S875" s="296"/>
      <c r="T875" s="3">
        <v>35</v>
      </c>
      <c r="U875" s="305"/>
    </row>
    <row r="876" spans="1:21" ht="30" customHeight="1" x14ac:dyDescent="0.35">
      <c r="A876" s="218" t="s">
        <v>3167</v>
      </c>
      <c r="B876" s="3">
        <v>838</v>
      </c>
      <c r="C876" s="45">
        <v>10096042</v>
      </c>
      <c r="D876" s="2" t="s">
        <v>640</v>
      </c>
      <c r="E876" s="18" t="s">
        <v>711</v>
      </c>
      <c r="F876" s="7">
        <v>4</v>
      </c>
      <c r="G876" s="3" t="s">
        <v>0</v>
      </c>
      <c r="H876" s="5">
        <v>42004</v>
      </c>
      <c r="I876" s="30" t="s">
        <v>1003</v>
      </c>
      <c r="J876" s="4" t="s">
        <v>1962</v>
      </c>
      <c r="K876" s="14" t="s">
        <v>843</v>
      </c>
      <c r="L876" s="3" t="s">
        <v>871</v>
      </c>
      <c r="M876" s="72">
        <f t="shared" si="164"/>
        <v>29400</v>
      </c>
      <c r="N876" s="72">
        <f t="shared" si="165"/>
        <v>7350</v>
      </c>
      <c r="O876" s="72">
        <v>29400</v>
      </c>
      <c r="P876" s="72">
        <v>14640</v>
      </c>
      <c r="Q876" s="256">
        <f t="shared" si="162"/>
        <v>3220.8</v>
      </c>
      <c r="R876" s="256">
        <f t="shared" si="163"/>
        <v>17860.8</v>
      </c>
      <c r="S876" s="296"/>
      <c r="T876" s="3">
        <v>35</v>
      </c>
      <c r="U876" s="305"/>
    </row>
    <row r="877" spans="1:21" ht="45" customHeight="1" x14ac:dyDescent="0.35">
      <c r="A877" s="218" t="s">
        <v>3168</v>
      </c>
      <c r="B877" s="3">
        <v>839</v>
      </c>
      <c r="C877" s="45">
        <v>10145264</v>
      </c>
      <c r="D877" s="2" t="s">
        <v>270</v>
      </c>
      <c r="E877" s="18" t="s">
        <v>711</v>
      </c>
      <c r="F877" s="12">
        <v>2</v>
      </c>
      <c r="G877" s="3" t="s">
        <v>0</v>
      </c>
      <c r="H877" s="5">
        <v>42004</v>
      </c>
      <c r="I877" s="30" t="s">
        <v>1003</v>
      </c>
      <c r="J877" s="4" t="s">
        <v>1962</v>
      </c>
      <c r="K877" s="14" t="s">
        <v>844</v>
      </c>
      <c r="L877" s="3" t="s">
        <v>871</v>
      </c>
      <c r="M877" s="96">
        <f t="shared" si="164"/>
        <v>24800</v>
      </c>
      <c r="N877" s="96">
        <f t="shared" si="165"/>
        <v>12400</v>
      </c>
      <c r="O877" s="72">
        <v>24800</v>
      </c>
      <c r="P877" s="72">
        <v>12430</v>
      </c>
      <c r="Q877" s="256">
        <f t="shared" si="162"/>
        <v>2734.6</v>
      </c>
      <c r="R877" s="256">
        <f t="shared" si="163"/>
        <v>15164.6</v>
      </c>
      <c r="S877" s="296"/>
      <c r="T877" s="3">
        <v>35</v>
      </c>
      <c r="U877" s="305"/>
    </row>
    <row r="878" spans="1:21" ht="21.75" customHeight="1" x14ac:dyDescent="0.35">
      <c r="A878" s="218" t="s">
        <v>3169</v>
      </c>
      <c r="B878" s="3">
        <v>840</v>
      </c>
      <c r="C878" s="45">
        <v>102001115</v>
      </c>
      <c r="D878" s="15" t="s">
        <v>642</v>
      </c>
      <c r="E878" s="18" t="s">
        <v>711</v>
      </c>
      <c r="F878" s="7">
        <v>2</v>
      </c>
      <c r="G878" s="3" t="s">
        <v>0</v>
      </c>
      <c r="H878" s="5">
        <v>42004</v>
      </c>
      <c r="I878" s="30" t="s">
        <v>1003</v>
      </c>
      <c r="J878" s="4" t="s">
        <v>1962</v>
      </c>
      <c r="K878" s="14" t="s">
        <v>845</v>
      </c>
      <c r="L878" s="3" t="s">
        <v>871</v>
      </c>
      <c r="M878" s="72">
        <f t="shared" si="164"/>
        <v>81900</v>
      </c>
      <c r="N878" s="72">
        <f t="shared" si="165"/>
        <v>40950</v>
      </c>
      <c r="O878" s="72">
        <v>81900</v>
      </c>
      <c r="P878" s="72">
        <v>40780</v>
      </c>
      <c r="Q878" s="256">
        <f t="shared" si="162"/>
        <v>8971.6</v>
      </c>
      <c r="R878" s="256">
        <f t="shared" si="163"/>
        <v>49751.6</v>
      </c>
      <c r="S878" s="296"/>
      <c r="T878" s="3">
        <v>35</v>
      </c>
      <c r="U878" s="305"/>
    </row>
    <row r="879" spans="1:21" ht="30" customHeight="1" x14ac:dyDescent="0.35">
      <c r="A879" s="218" t="s">
        <v>3170</v>
      </c>
      <c r="B879" s="3">
        <v>841</v>
      </c>
      <c r="C879" s="45">
        <v>10127605</v>
      </c>
      <c r="D879" s="2" t="s">
        <v>269</v>
      </c>
      <c r="E879" s="18" t="s">
        <v>711</v>
      </c>
      <c r="F879" s="7">
        <v>1</v>
      </c>
      <c r="G879" s="3" t="s">
        <v>0</v>
      </c>
      <c r="H879" s="5">
        <v>42004</v>
      </c>
      <c r="I879" s="30" t="s">
        <v>1003</v>
      </c>
      <c r="J879" s="4" t="s">
        <v>1962</v>
      </c>
      <c r="K879" s="14" t="s">
        <v>846</v>
      </c>
      <c r="L879" s="3" t="s">
        <v>871</v>
      </c>
      <c r="M879" s="72">
        <f t="shared" si="164"/>
        <v>27878.86</v>
      </c>
      <c r="N879" s="72">
        <f t="shared" si="165"/>
        <v>27878.86</v>
      </c>
      <c r="O879" s="72">
        <v>27878.86</v>
      </c>
      <c r="P879" s="72">
        <v>13880</v>
      </c>
      <c r="Q879" s="256">
        <f t="shared" si="162"/>
        <v>3053.6</v>
      </c>
      <c r="R879" s="256">
        <f t="shared" si="163"/>
        <v>16933.599999999999</v>
      </c>
      <c r="S879" s="296"/>
      <c r="T879" s="3">
        <v>35</v>
      </c>
      <c r="U879" s="305"/>
    </row>
    <row r="880" spans="1:21" ht="30" customHeight="1" x14ac:dyDescent="0.35">
      <c r="A880" s="218" t="s">
        <v>3171</v>
      </c>
      <c r="B880" s="3">
        <v>842</v>
      </c>
      <c r="C880" s="45">
        <v>102002106</v>
      </c>
      <c r="D880" s="15" t="s">
        <v>646</v>
      </c>
      <c r="E880" s="18" t="s">
        <v>711</v>
      </c>
      <c r="F880" s="7">
        <v>2</v>
      </c>
      <c r="G880" s="3" t="s">
        <v>0</v>
      </c>
      <c r="H880" s="5">
        <v>42004</v>
      </c>
      <c r="I880" s="30" t="s">
        <v>1003</v>
      </c>
      <c r="J880" s="4" t="s">
        <v>1962</v>
      </c>
      <c r="K880" s="14" t="s">
        <v>847</v>
      </c>
      <c r="L880" s="3" t="s">
        <v>871</v>
      </c>
      <c r="M880" s="72">
        <f t="shared" si="164"/>
        <v>117900</v>
      </c>
      <c r="N880" s="72">
        <f t="shared" si="165"/>
        <v>58950</v>
      </c>
      <c r="O880" s="72">
        <v>117900</v>
      </c>
      <c r="P880" s="72">
        <v>58710</v>
      </c>
      <c r="Q880" s="256">
        <f t="shared" ref="Q880:Q905" si="166">R880-P880</f>
        <v>12916.2</v>
      </c>
      <c r="R880" s="256">
        <f t="shared" ref="R880:R905" si="167">P880*1.22</f>
        <v>71626.2</v>
      </c>
      <c r="S880" s="296"/>
      <c r="T880" s="3">
        <v>35</v>
      </c>
      <c r="U880" s="305"/>
    </row>
    <row r="881" spans="1:21" ht="30" customHeight="1" x14ac:dyDescent="0.35">
      <c r="A881" s="218" t="s">
        <v>3172</v>
      </c>
      <c r="B881" s="3">
        <v>843</v>
      </c>
      <c r="C881" s="45">
        <v>10124228</v>
      </c>
      <c r="D881" s="2" t="s">
        <v>646</v>
      </c>
      <c r="E881" s="18" t="s">
        <v>711</v>
      </c>
      <c r="F881" s="7">
        <v>1</v>
      </c>
      <c r="G881" s="3" t="s">
        <v>0</v>
      </c>
      <c r="H881" s="5">
        <v>42004</v>
      </c>
      <c r="I881" s="30" t="s">
        <v>1003</v>
      </c>
      <c r="J881" s="4" t="s">
        <v>1962</v>
      </c>
      <c r="K881" s="14" t="s">
        <v>848</v>
      </c>
      <c r="L881" s="3" t="s">
        <v>871</v>
      </c>
      <c r="M881" s="72">
        <f t="shared" si="164"/>
        <v>77490</v>
      </c>
      <c r="N881" s="72">
        <f t="shared" si="165"/>
        <v>77490</v>
      </c>
      <c r="O881" s="72">
        <v>77490</v>
      </c>
      <c r="P881" s="72">
        <v>38850</v>
      </c>
      <c r="Q881" s="256">
        <f t="shared" si="166"/>
        <v>8547</v>
      </c>
      <c r="R881" s="256">
        <f t="shared" si="167"/>
        <v>47397</v>
      </c>
      <c r="S881" s="296"/>
      <c r="T881" s="3">
        <v>35</v>
      </c>
      <c r="U881" s="305"/>
    </row>
    <row r="882" spans="1:21" ht="15" customHeight="1" x14ac:dyDescent="0.35">
      <c r="A882" s="218" t="s">
        <v>3173</v>
      </c>
      <c r="B882" s="3">
        <v>844</v>
      </c>
      <c r="C882" s="45">
        <v>102000823</v>
      </c>
      <c r="D882" s="15" t="s">
        <v>647</v>
      </c>
      <c r="E882" s="18" t="s">
        <v>711</v>
      </c>
      <c r="F882" s="7">
        <v>2</v>
      </c>
      <c r="G882" s="3" t="s">
        <v>0</v>
      </c>
      <c r="H882" s="5">
        <v>42004</v>
      </c>
      <c r="I882" s="30" t="s">
        <v>1003</v>
      </c>
      <c r="J882" s="4" t="s">
        <v>1962</v>
      </c>
      <c r="K882" s="14" t="s">
        <v>849</v>
      </c>
      <c r="L882" s="3" t="s">
        <v>871</v>
      </c>
      <c r="M882" s="72">
        <f t="shared" si="164"/>
        <v>172400</v>
      </c>
      <c r="N882" s="72">
        <f t="shared" si="165"/>
        <v>86200</v>
      </c>
      <c r="O882" s="72">
        <v>172400</v>
      </c>
      <c r="P882" s="72">
        <v>85840</v>
      </c>
      <c r="Q882" s="256">
        <f t="shared" si="166"/>
        <v>18884.8</v>
      </c>
      <c r="R882" s="256">
        <f t="shared" si="167"/>
        <v>104724.8</v>
      </c>
      <c r="S882" s="296"/>
      <c r="T882" s="3">
        <v>35</v>
      </c>
      <c r="U882" s="305"/>
    </row>
    <row r="883" spans="1:21" ht="15" customHeight="1" x14ac:dyDescent="0.35">
      <c r="A883" s="218" t="s">
        <v>3174</v>
      </c>
      <c r="B883" s="3">
        <v>845</v>
      </c>
      <c r="C883" s="45">
        <v>102000827</v>
      </c>
      <c r="D883" s="15" t="s">
        <v>649</v>
      </c>
      <c r="E883" s="18" t="s">
        <v>711</v>
      </c>
      <c r="F883" s="7">
        <v>2</v>
      </c>
      <c r="G883" s="3" t="s">
        <v>0</v>
      </c>
      <c r="H883" s="5">
        <v>42004</v>
      </c>
      <c r="I883" s="30" t="s">
        <v>1003</v>
      </c>
      <c r="J883" s="4" t="s">
        <v>1962</v>
      </c>
      <c r="K883" s="14" t="s">
        <v>850</v>
      </c>
      <c r="L883" s="3" t="s">
        <v>871</v>
      </c>
      <c r="M883" s="72">
        <f t="shared" si="164"/>
        <v>138826.5</v>
      </c>
      <c r="N883" s="72">
        <f t="shared" si="165"/>
        <v>69413.25</v>
      </c>
      <c r="O883" s="72">
        <v>138826.5</v>
      </c>
      <c r="P883" s="72">
        <v>69130</v>
      </c>
      <c r="Q883" s="256">
        <f t="shared" si="166"/>
        <v>15208.6</v>
      </c>
      <c r="R883" s="256">
        <f t="shared" si="167"/>
        <v>84338.6</v>
      </c>
      <c r="S883" s="296"/>
      <c r="T883" s="3">
        <v>35</v>
      </c>
      <c r="U883" s="305"/>
    </row>
    <row r="884" spans="1:21" ht="30" customHeight="1" x14ac:dyDescent="0.35">
      <c r="A884" s="218" t="s">
        <v>3175</v>
      </c>
      <c r="B884" s="3">
        <v>846</v>
      </c>
      <c r="C884" s="45">
        <v>10097916</v>
      </c>
      <c r="D884" s="2" t="s">
        <v>650</v>
      </c>
      <c r="E884" s="18" t="s">
        <v>711</v>
      </c>
      <c r="F884" s="7">
        <v>2</v>
      </c>
      <c r="G884" s="3" t="s">
        <v>0</v>
      </c>
      <c r="H884" s="5">
        <v>42004</v>
      </c>
      <c r="I884" s="30" t="s">
        <v>1003</v>
      </c>
      <c r="J884" s="4" t="s">
        <v>1962</v>
      </c>
      <c r="K884" s="14" t="s">
        <v>851</v>
      </c>
      <c r="L884" s="3" t="s">
        <v>871</v>
      </c>
      <c r="M884" s="72">
        <f t="shared" si="164"/>
        <v>13591.84</v>
      </c>
      <c r="N884" s="72">
        <f t="shared" si="165"/>
        <v>6795.92</v>
      </c>
      <c r="O884" s="72">
        <v>13591.84</v>
      </c>
      <c r="P884" s="72">
        <v>6770</v>
      </c>
      <c r="Q884" s="256">
        <f t="shared" si="166"/>
        <v>1489.4</v>
      </c>
      <c r="R884" s="256">
        <f t="shared" si="167"/>
        <v>8259.4</v>
      </c>
      <c r="S884" s="296"/>
      <c r="T884" s="3">
        <v>35</v>
      </c>
      <c r="U884" s="305"/>
    </row>
    <row r="885" spans="1:21" ht="30" customHeight="1" x14ac:dyDescent="0.35">
      <c r="A885" s="218" t="s">
        <v>3176</v>
      </c>
      <c r="B885" s="3">
        <v>847</v>
      </c>
      <c r="C885" s="45">
        <v>10030058</v>
      </c>
      <c r="D885" s="2" t="s">
        <v>652</v>
      </c>
      <c r="E885" s="18" t="s">
        <v>711</v>
      </c>
      <c r="F885" s="7">
        <v>4</v>
      </c>
      <c r="G885" s="3" t="s">
        <v>0</v>
      </c>
      <c r="H885" s="5">
        <v>42004</v>
      </c>
      <c r="I885" s="30" t="s">
        <v>1003</v>
      </c>
      <c r="J885" s="4" t="s">
        <v>1962</v>
      </c>
      <c r="K885" s="14" t="s">
        <v>852</v>
      </c>
      <c r="L885" s="3" t="s">
        <v>871</v>
      </c>
      <c r="M885" s="72">
        <f t="shared" si="164"/>
        <v>12787.64</v>
      </c>
      <c r="N885" s="72">
        <f t="shared" si="165"/>
        <v>3196.91</v>
      </c>
      <c r="O885" s="72">
        <v>12787.64</v>
      </c>
      <c r="P885" s="72">
        <v>6370</v>
      </c>
      <c r="Q885" s="256">
        <f t="shared" si="166"/>
        <v>1401.4</v>
      </c>
      <c r="R885" s="256">
        <f t="shared" si="167"/>
        <v>7771.4</v>
      </c>
      <c r="S885" s="296"/>
      <c r="T885" s="3">
        <v>35</v>
      </c>
      <c r="U885" s="305"/>
    </row>
    <row r="886" spans="1:21" ht="30" customHeight="1" x14ac:dyDescent="0.35">
      <c r="A886" s="218" t="s">
        <v>3177</v>
      </c>
      <c r="B886" s="3">
        <v>848</v>
      </c>
      <c r="C886" s="45">
        <v>102001356</v>
      </c>
      <c r="D886" s="15" t="s">
        <v>656</v>
      </c>
      <c r="E886" s="18" t="s">
        <v>711</v>
      </c>
      <c r="F886" s="7">
        <v>1</v>
      </c>
      <c r="G886" s="3" t="s">
        <v>0</v>
      </c>
      <c r="H886" s="5">
        <v>42004</v>
      </c>
      <c r="I886" s="30" t="s">
        <v>1003</v>
      </c>
      <c r="J886" s="4" t="s">
        <v>1962</v>
      </c>
      <c r="K886" s="14" t="s">
        <v>688</v>
      </c>
      <c r="L886" s="3" t="s">
        <v>871</v>
      </c>
      <c r="M886" s="72">
        <f t="shared" si="164"/>
        <v>166500</v>
      </c>
      <c r="N886" s="72">
        <f t="shared" si="165"/>
        <v>166500</v>
      </c>
      <c r="O886" s="72">
        <v>166500</v>
      </c>
      <c r="P886" s="72">
        <v>82900</v>
      </c>
      <c r="Q886" s="256">
        <f t="shared" si="166"/>
        <v>18238</v>
      </c>
      <c r="R886" s="256">
        <f t="shared" si="167"/>
        <v>101138</v>
      </c>
      <c r="S886" s="296"/>
      <c r="T886" s="3">
        <v>35</v>
      </c>
      <c r="U886" s="305"/>
    </row>
    <row r="887" spans="1:21" ht="30" customHeight="1" x14ac:dyDescent="0.35">
      <c r="A887" s="218" t="s">
        <v>3178</v>
      </c>
      <c r="B887" s="3">
        <v>849</v>
      </c>
      <c r="C887" s="45">
        <v>10016503</v>
      </c>
      <c r="D887" s="2" t="s">
        <v>668</v>
      </c>
      <c r="E887" s="18" t="s">
        <v>711</v>
      </c>
      <c r="F887" s="7">
        <v>1</v>
      </c>
      <c r="G887" s="3" t="s">
        <v>0</v>
      </c>
      <c r="H887" s="5">
        <v>42004</v>
      </c>
      <c r="I887" s="30" t="s">
        <v>1003</v>
      </c>
      <c r="J887" s="4" t="s">
        <v>1962</v>
      </c>
      <c r="K887" s="14" t="s">
        <v>853</v>
      </c>
      <c r="L887" s="3" t="s">
        <v>871</v>
      </c>
      <c r="M887" s="72">
        <f t="shared" si="164"/>
        <v>1473.59</v>
      </c>
      <c r="N887" s="72">
        <f t="shared" si="165"/>
        <v>1473.59</v>
      </c>
      <c r="O887" s="72">
        <v>1473.59</v>
      </c>
      <c r="P887" s="72">
        <v>730</v>
      </c>
      <c r="Q887" s="256">
        <f t="shared" si="166"/>
        <v>160.6</v>
      </c>
      <c r="R887" s="256">
        <f t="shared" si="167"/>
        <v>890.6</v>
      </c>
      <c r="S887" s="296"/>
      <c r="T887" s="3">
        <v>35</v>
      </c>
      <c r="U887" s="305"/>
    </row>
    <row r="888" spans="1:21" ht="30" customHeight="1" x14ac:dyDescent="0.35">
      <c r="A888" s="218" t="s">
        <v>3179</v>
      </c>
      <c r="B888" s="3">
        <v>850</v>
      </c>
      <c r="C888" s="45">
        <v>10030866</v>
      </c>
      <c r="D888" s="2" t="s">
        <v>693</v>
      </c>
      <c r="E888" s="18" t="s">
        <v>711</v>
      </c>
      <c r="F888" s="7">
        <v>1</v>
      </c>
      <c r="G888" s="3" t="s">
        <v>0</v>
      </c>
      <c r="H888" s="5">
        <v>42004</v>
      </c>
      <c r="I888" s="30" t="s">
        <v>1003</v>
      </c>
      <c r="J888" s="4" t="s">
        <v>1962</v>
      </c>
      <c r="K888" s="14" t="s">
        <v>864</v>
      </c>
      <c r="L888" s="3" t="s">
        <v>871</v>
      </c>
      <c r="M888" s="72">
        <f t="shared" si="164"/>
        <v>2540.92</v>
      </c>
      <c r="N888" s="72">
        <f t="shared" si="165"/>
        <v>2540.92</v>
      </c>
      <c r="O888" s="72">
        <v>2540.92</v>
      </c>
      <c r="P888" s="72">
        <v>1270</v>
      </c>
      <c r="Q888" s="256">
        <f t="shared" si="166"/>
        <v>279.39999999999998</v>
      </c>
      <c r="R888" s="256">
        <f t="shared" si="167"/>
        <v>1549.4</v>
      </c>
      <c r="S888" s="296"/>
      <c r="T888" s="3">
        <v>35</v>
      </c>
      <c r="U888" s="305"/>
    </row>
    <row r="889" spans="1:21" ht="15" customHeight="1" x14ac:dyDescent="0.35">
      <c r="A889" s="218" t="s">
        <v>3180</v>
      </c>
      <c r="B889" s="3">
        <v>851</v>
      </c>
      <c r="C889" s="45">
        <v>10024241</v>
      </c>
      <c r="D889" s="2" t="s">
        <v>697</v>
      </c>
      <c r="E889" s="18" t="s">
        <v>711</v>
      </c>
      <c r="F889" s="7">
        <v>2</v>
      </c>
      <c r="G889" s="3" t="s">
        <v>0</v>
      </c>
      <c r="H889" s="5">
        <v>42004</v>
      </c>
      <c r="I889" s="30" t="s">
        <v>1003</v>
      </c>
      <c r="J889" s="4" t="s">
        <v>1962</v>
      </c>
      <c r="K889" s="14" t="s">
        <v>867</v>
      </c>
      <c r="L889" s="3" t="s">
        <v>871</v>
      </c>
      <c r="M889" s="72">
        <f t="shared" si="164"/>
        <v>10807.63</v>
      </c>
      <c r="N889" s="72">
        <f t="shared" si="165"/>
        <v>5403.82</v>
      </c>
      <c r="O889" s="72">
        <v>10807.63</v>
      </c>
      <c r="P889" s="72">
        <v>5380</v>
      </c>
      <c r="Q889" s="256">
        <f t="shared" si="166"/>
        <v>1183.5999999999999</v>
      </c>
      <c r="R889" s="256">
        <f t="shared" si="167"/>
        <v>6563.6</v>
      </c>
      <c r="S889" s="296"/>
      <c r="T889" s="3">
        <v>35</v>
      </c>
      <c r="U889" s="305"/>
    </row>
    <row r="890" spans="1:21" ht="30" customHeight="1" x14ac:dyDescent="0.35">
      <c r="A890" s="218" t="s">
        <v>3181</v>
      </c>
      <c r="B890" s="3">
        <v>852</v>
      </c>
      <c r="C890" s="45">
        <v>10042692</v>
      </c>
      <c r="D890" s="2" t="s">
        <v>701</v>
      </c>
      <c r="E890" s="18" t="s">
        <v>711</v>
      </c>
      <c r="F890" s="7">
        <v>1</v>
      </c>
      <c r="G890" s="3" t="s">
        <v>0</v>
      </c>
      <c r="H890" s="5">
        <v>42004</v>
      </c>
      <c r="I890" s="30" t="s">
        <v>1003</v>
      </c>
      <c r="J890" s="4" t="s">
        <v>1962</v>
      </c>
      <c r="K890" s="14" t="s">
        <v>868</v>
      </c>
      <c r="L890" s="3" t="s">
        <v>871</v>
      </c>
      <c r="M890" s="72">
        <f t="shared" si="164"/>
        <v>8</v>
      </c>
      <c r="N890" s="72">
        <f t="shared" si="165"/>
        <v>8</v>
      </c>
      <c r="O890" s="72">
        <v>8</v>
      </c>
      <c r="P890" s="72">
        <v>4</v>
      </c>
      <c r="Q890" s="256">
        <f t="shared" si="166"/>
        <v>0.88</v>
      </c>
      <c r="R890" s="256">
        <f t="shared" si="167"/>
        <v>4.88</v>
      </c>
      <c r="S890" s="296"/>
      <c r="T890" s="3">
        <v>35</v>
      </c>
      <c r="U890" s="305"/>
    </row>
    <row r="891" spans="1:21" ht="45" customHeight="1" x14ac:dyDescent="0.35">
      <c r="A891" s="218" t="s">
        <v>3182</v>
      </c>
      <c r="B891" s="3">
        <v>853</v>
      </c>
      <c r="C891" s="44">
        <v>102002057</v>
      </c>
      <c r="D891" s="18" t="s">
        <v>342</v>
      </c>
      <c r="E891" s="18" t="s">
        <v>2196</v>
      </c>
      <c r="F891" s="12">
        <v>1</v>
      </c>
      <c r="G891" s="3" t="s">
        <v>0</v>
      </c>
      <c r="H891" s="5">
        <v>42004</v>
      </c>
      <c r="I891" s="49" t="s">
        <v>999</v>
      </c>
      <c r="J891" s="4" t="s">
        <v>1962</v>
      </c>
      <c r="K891" s="5" t="s">
        <v>988</v>
      </c>
      <c r="L891" s="29" t="s">
        <v>2143</v>
      </c>
      <c r="M891" s="78">
        <f t="shared" si="164"/>
        <v>83535</v>
      </c>
      <c r="N891" s="78">
        <f t="shared" si="165"/>
        <v>83535</v>
      </c>
      <c r="O891" s="78">
        <v>83535</v>
      </c>
      <c r="P891" s="72">
        <v>41590</v>
      </c>
      <c r="Q891" s="256">
        <f t="shared" si="166"/>
        <v>9149.7999999999993</v>
      </c>
      <c r="R891" s="256">
        <f t="shared" si="167"/>
        <v>50739.8</v>
      </c>
      <c r="S891" s="296"/>
      <c r="T891" s="3">
        <v>35</v>
      </c>
      <c r="U891" s="305"/>
    </row>
    <row r="892" spans="1:21" ht="30" customHeight="1" x14ac:dyDescent="0.35">
      <c r="A892" s="218" t="s">
        <v>3183</v>
      </c>
      <c r="B892" s="3">
        <v>854</v>
      </c>
      <c r="C892" s="58">
        <v>102001102</v>
      </c>
      <c r="D892" s="21" t="s">
        <v>885</v>
      </c>
      <c r="E892" s="18" t="s">
        <v>2197</v>
      </c>
      <c r="F892" s="22">
        <v>4</v>
      </c>
      <c r="G892" s="3" t="s">
        <v>0</v>
      </c>
      <c r="H892" s="50" t="s">
        <v>2195</v>
      </c>
      <c r="I892" s="4" t="s">
        <v>999</v>
      </c>
      <c r="J892" s="31" t="s">
        <v>986</v>
      </c>
      <c r="K892" s="4" t="s">
        <v>988</v>
      </c>
      <c r="L892" s="5" t="s">
        <v>871</v>
      </c>
      <c r="M892" s="72">
        <f t="shared" si="164"/>
        <v>188115</v>
      </c>
      <c r="N892" s="72">
        <f t="shared" si="165"/>
        <v>47028.75</v>
      </c>
      <c r="O892" s="72">
        <v>188115</v>
      </c>
      <c r="P892" s="72">
        <v>105070</v>
      </c>
      <c r="Q892" s="256">
        <f t="shared" si="166"/>
        <v>23115.4</v>
      </c>
      <c r="R892" s="256">
        <f t="shared" si="167"/>
        <v>128185.4</v>
      </c>
      <c r="S892" s="296"/>
      <c r="T892" s="3">
        <v>35</v>
      </c>
      <c r="U892" s="305"/>
    </row>
    <row r="893" spans="1:21" ht="30" customHeight="1" x14ac:dyDescent="0.35">
      <c r="A893" s="218" t="s">
        <v>3184</v>
      </c>
      <c r="B893" s="3">
        <v>855</v>
      </c>
      <c r="C893" s="58">
        <v>102001266</v>
      </c>
      <c r="D893" s="21" t="s">
        <v>886</v>
      </c>
      <c r="E893" s="18" t="s">
        <v>2197</v>
      </c>
      <c r="F893" s="22">
        <v>2</v>
      </c>
      <c r="G893" s="3" t="s">
        <v>0</v>
      </c>
      <c r="H893" s="50" t="s">
        <v>2195</v>
      </c>
      <c r="I893" s="4" t="s">
        <v>999</v>
      </c>
      <c r="J893" s="31" t="s">
        <v>986</v>
      </c>
      <c r="K893" s="4" t="s">
        <v>988</v>
      </c>
      <c r="L893" s="5" t="s">
        <v>871</v>
      </c>
      <c r="M893" s="72">
        <f t="shared" si="164"/>
        <v>109600</v>
      </c>
      <c r="N893" s="72">
        <f t="shared" si="165"/>
        <v>54800</v>
      </c>
      <c r="O893" s="72">
        <v>109600</v>
      </c>
      <c r="P893" s="72">
        <v>61220</v>
      </c>
      <c r="Q893" s="256">
        <f t="shared" si="166"/>
        <v>13468.4</v>
      </c>
      <c r="R893" s="256">
        <f t="shared" si="167"/>
        <v>74688.399999999994</v>
      </c>
      <c r="S893" s="296"/>
      <c r="T893" s="3">
        <v>35</v>
      </c>
      <c r="U893" s="305"/>
    </row>
    <row r="894" spans="1:21" ht="30" customHeight="1" x14ac:dyDescent="0.35">
      <c r="A894" s="218" t="s">
        <v>3185</v>
      </c>
      <c r="B894" s="3">
        <v>856</v>
      </c>
      <c r="C894" s="58">
        <v>102001063</v>
      </c>
      <c r="D894" s="21" t="s">
        <v>887</v>
      </c>
      <c r="E894" s="18" t="s">
        <v>2197</v>
      </c>
      <c r="F894" s="22">
        <v>2</v>
      </c>
      <c r="G894" s="3" t="s">
        <v>0</v>
      </c>
      <c r="H894" s="50" t="s">
        <v>2195</v>
      </c>
      <c r="I894" s="4" t="s">
        <v>999</v>
      </c>
      <c r="J894" s="31" t="s">
        <v>986</v>
      </c>
      <c r="K894" s="4" t="s">
        <v>988</v>
      </c>
      <c r="L894" s="5" t="s">
        <v>871</v>
      </c>
      <c r="M894" s="72">
        <f t="shared" si="164"/>
        <v>106760</v>
      </c>
      <c r="N894" s="72">
        <f t="shared" si="165"/>
        <v>53380</v>
      </c>
      <c r="O894" s="72">
        <v>106760</v>
      </c>
      <c r="P894" s="72">
        <v>59630</v>
      </c>
      <c r="Q894" s="256">
        <f t="shared" si="166"/>
        <v>13118.6</v>
      </c>
      <c r="R894" s="256">
        <f t="shared" si="167"/>
        <v>72748.600000000006</v>
      </c>
      <c r="S894" s="296"/>
      <c r="T894" s="3">
        <v>35</v>
      </c>
      <c r="U894" s="305"/>
    </row>
    <row r="895" spans="1:21" ht="30" customHeight="1" x14ac:dyDescent="0.35">
      <c r="A895" s="218" t="s">
        <v>3186</v>
      </c>
      <c r="B895" s="3">
        <v>857</v>
      </c>
      <c r="C895" s="58">
        <v>102001310</v>
      </c>
      <c r="D895" s="21" t="s">
        <v>888</v>
      </c>
      <c r="E895" s="18" t="s">
        <v>2197</v>
      </c>
      <c r="F895" s="22">
        <v>3</v>
      </c>
      <c r="G895" s="3" t="s">
        <v>0</v>
      </c>
      <c r="H895" s="50" t="s">
        <v>2195</v>
      </c>
      <c r="I895" s="4" t="s">
        <v>999</v>
      </c>
      <c r="J895" s="31" t="s">
        <v>986</v>
      </c>
      <c r="K895" s="4" t="s">
        <v>988</v>
      </c>
      <c r="L895" s="5" t="s">
        <v>871</v>
      </c>
      <c r="M895" s="72">
        <f t="shared" si="164"/>
        <v>131790</v>
      </c>
      <c r="N895" s="72">
        <f t="shared" si="165"/>
        <v>43930</v>
      </c>
      <c r="O895" s="72">
        <v>131790</v>
      </c>
      <c r="P895" s="72">
        <v>73610</v>
      </c>
      <c r="Q895" s="256">
        <f t="shared" si="166"/>
        <v>16194.2</v>
      </c>
      <c r="R895" s="256">
        <f t="shared" si="167"/>
        <v>89804.2</v>
      </c>
      <c r="S895" s="296"/>
      <c r="T895" s="3">
        <v>35</v>
      </c>
      <c r="U895" s="305"/>
    </row>
    <row r="896" spans="1:21" ht="30" customHeight="1" x14ac:dyDescent="0.35">
      <c r="A896" s="218" t="s">
        <v>3187</v>
      </c>
      <c r="B896" s="3">
        <v>858</v>
      </c>
      <c r="C896" s="58">
        <v>10137581</v>
      </c>
      <c r="D896" s="21" t="s">
        <v>889</v>
      </c>
      <c r="E896" s="18" t="s">
        <v>2197</v>
      </c>
      <c r="F896" s="7">
        <v>1</v>
      </c>
      <c r="G896" s="3" t="s">
        <v>0</v>
      </c>
      <c r="H896" s="50" t="s">
        <v>2195</v>
      </c>
      <c r="I896" s="4" t="s">
        <v>999</v>
      </c>
      <c r="J896" s="4" t="s">
        <v>1962</v>
      </c>
      <c r="K896" s="4" t="s">
        <v>988</v>
      </c>
      <c r="L896" s="5" t="s">
        <v>871</v>
      </c>
      <c r="M896" s="72">
        <f t="shared" si="164"/>
        <v>26790</v>
      </c>
      <c r="N896" s="72">
        <f t="shared" si="165"/>
        <v>26790</v>
      </c>
      <c r="O896" s="72">
        <v>26790</v>
      </c>
      <c r="P896" s="72">
        <v>14960</v>
      </c>
      <c r="Q896" s="256">
        <f t="shared" si="166"/>
        <v>3291.2</v>
      </c>
      <c r="R896" s="256">
        <f t="shared" si="167"/>
        <v>18251.2</v>
      </c>
      <c r="S896" s="296"/>
      <c r="T896" s="3">
        <v>35</v>
      </c>
      <c r="U896" s="305"/>
    </row>
    <row r="897" spans="1:21" ht="30" customHeight="1" x14ac:dyDescent="0.35">
      <c r="A897" s="218" t="s">
        <v>3188</v>
      </c>
      <c r="B897" s="3">
        <v>859</v>
      </c>
      <c r="C897" s="58">
        <v>102001213</v>
      </c>
      <c r="D897" s="21" t="s">
        <v>890</v>
      </c>
      <c r="E897" s="18" t="s">
        <v>2197</v>
      </c>
      <c r="F897" s="7">
        <v>1</v>
      </c>
      <c r="G897" s="3" t="s">
        <v>0</v>
      </c>
      <c r="H897" s="50" t="s">
        <v>2195</v>
      </c>
      <c r="I897" s="4" t="s">
        <v>999</v>
      </c>
      <c r="J897" s="31" t="s">
        <v>986</v>
      </c>
      <c r="K897" s="4" t="s">
        <v>988</v>
      </c>
      <c r="L897" s="5" t="s">
        <v>871</v>
      </c>
      <c r="M897" s="72">
        <f t="shared" si="164"/>
        <v>41980</v>
      </c>
      <c r="N897" s="72">
        <f t="shared" si="165"/>
        <v>41980</v>
      </c>
      <c r="O897" s="72">
        <v>41980</v>
      </c>
      <c r="P897" s="72">
        <v>23450</v>
      </c>
      <c r="Q897" s="256">
        <f t="shared" si="166"/>
        <v>5159</v>
      </c>
      <c r="R897" s="256">
        <f t="shared" si="167"/>
        <v>28609</v>
      </c>
      <c r="S897" s="296"/>
      <c r="T897" s="3">
        <v>35</v>
      </c>
      <c r="U897" s="305"/>
    </row>
    <row r="898" spans="1:21" ht="30" customHeight="1" x14ac:dyDescent="0.35">
      <c r="A898" s="218" t="s">
        <v>3189</v>
      </c>
      <c r="B898" s="3">
        <v>860</v>
      </c>
      <c r="C898" s="58">
        <v>102001481</v>
      </c>
      <c r="D898" s="21" t="s">
        <v>891</v>
      </c>
      <c r="E898" s="18" t="s">
        <v>2197</v>
      </c>
      <c r="F898" s="7">
        <v>1</v>
      </c>
      <c r="G898" s="3" t="s">
        <v>0</v>
      </c>
      <c r="H898" s="50" t="s">
        <v>2195</v>
      </c>
      <c r="I898" s="4" t="s">
        <v>999</v>
      </c>
      <c r="J898" s="31" t="s">
        <v>986</v>
      </c>
      <c r="K898" s="4" t="s">
        <v>988</v>
      </c>
      <c r="L898" s="5" t="s">
        <v>871</v>
      </c>
      <c r="M898" s="72">
        <f t="shared" si="164"/>
        <v>28260</v>
      </c>
      <c r="N898" s="72">
        <f t="shared" si="165"/>
        <v>28260</v>
      </c>
      <c r="O898" s="72">
        <v>28260</v>
      </c>
      <c r="P898" s="72">
        <v>15780</v>
      </c>
      <c r="Q898" s="256">
        <f t="shared" si="166"/>
        <v>3471.6</v>
      </c>
      <c r="R898" s="256">
        <f t="shared" si="167"/>
        <v>19251.599999999999</v>
      </c>
      <c r="S898" s="296"/>
      <c r="T898" s="3">
        <v>35</v>
      </c>
      <c r="U898" s="305"/>
    </row>
    <row r="899" spans="1:21" ht="15" customHeight="1" x14ac:dyDescent="0.35">
      <c r="A899" s="218" t="s">
        <v>3190</v>
      </c>
      <c r="B899" s="3">
        <v>861</v>
      </c>
      <c r="C899" s="58">
        <v>10137200</v>
      </c>
      <c r="D899" s="21" t="s">
        <v>892</v>
      </c>
      <c r="E899" s="18" t="s">
        <v>2197</v>
      </c>
      <c r="F899" s="22">
        <v>8</v>
      </c>
      <c r="G899" s="3" t="s">
        <v>0</v>
      </c>
      <c r="H899" s="50" t="s">
        <v>2195</v>
      </c>
      <c r="I899" s="4" t="s">
        <v>999</v>
      </c>
      <c r="J899" s="4" t="s">
        <v>1962</v>
      </c>
      <c r="K899" s="4" t="s">
        <v>988</v>
      </c>
      <c r="L899" s="5" t="s">
        <v>871</v>
      </c>
      <c r="M899" s="72">
        <f t="shared" si="164"/>
        <v>314739.58</v>
      </c>
      <c r="N899" s="72">
        <f t="shared" si="165"/>
        <v>39342.449999999997</v>
      </c>
      <c r="O899" s="72">
        <v>314739.58</v>
      </c>
      <c r="P899" s="72">
        <v>175800</v>
      </c>
      <c r="Q899" s="256">
        <f t="shared" si="166"/>
        <v>38676</v>
      </c>
      <c r="R899" s="256">
        <f t="shared" si="167"/>
        <v>214476</v>
      </c>
      <c r="S899" s="296"/>
      <c r="T899" s="3">
        <v>35</v>
      </c>
      <c r="U899" s="305"/>
    </row>
    <row r="900" spans="1:21" ht="15" customHeight="1" x14ac:dyDescent="0.35">
      <c r="A900" s="218" t="s">
        <v>3191</v>
      </c>
      <c r="B900" s="3">
        <v>862</v>
      </c>
      <c r="C900" s="58">
        <v>10137203</v>
      </c>
      <c r="D900" s="21" t="s">
        <v>893</v>
      </c>
      <c r="E900" s="18" t="s">
        <v>2197</v>
      </c>
      <c r="F900" s="22">
        <v>5</v>
      </c>
      <c r="G900" s="3" t="s">
        <v>0</v>
      </c>
      <c r="H900" s="50" t="s">
        <v>2195</v>
      </c>
      <c r="I900" s="4" t="s">
        <v>999</v>
      </c>
      <c r="J900" s="4" t="s">
        <v>1962</v>
      </c>
      <c r="K900" s="4" t="s">
        <v>988</v>
      </c>
      <c r="L900" s="5" t="s">
        <v>871</v>
      </c>
      <c r="M900" s="72">
        <f t="shared" si="164"/>
        <v>126275</v>
      </c>
      <c r="N900" s="72">
        <f t="shared" si="165"/>
        <v>25255</v>
      </c>
      <c r="O900" s="72">
        <v>126275</v>
      </c>
      <c r="P900" s="72">
        <v>70530</v>
      </c>
      <c r="Q900" s="256">
        <f t="shared" si="166"/>
        <v>15516.6</v>
      </c>
      <c r="R900" s="256">
        <f t="shared" si="167"/>
        <v>86046.6</v>
      </c>
      <c r="S900" s="296"/>
      <c r="T900" s="3">
        <v>35</v>
      </c>
      <c r="U900" s="305"/>
    </row>
    <row r="901" spans="1:21" ht="15" customHeight="1" x14ac:dyDescent="0.35">
      <c r="A901" s="218" t="s">
        <v>3192</v>
      </c>
      <c r="B901" s="3">
        <v>863</v>
      </c>
      <c r="C901" s="58">
        <v>10137445</v>
      </c>
      <c r="D901" s="21" t="s">
        <v>894</v>
      </c>
      <c r="E901" s="18" t="s">
        <v>2197</v>
      </c>
      <c r="F901" s="22">
        <v>3</v>
      </c>
      <c r="G901" s="3" t="s">
        <v>0</v>
      </c>
      <c r="H901" s="50" t="s">
        <v>2195</v>
      </c>
      <c r="I901" s="4" t="s">
        <v>999</v>
      </c>
      <c r="J901" s="4" t="s">
        <v>1962</v>
      </c>
      <c r="K901" s="4" t="s">
        <v>988</v>
      </c>
      <c r="L901" s="5" t="s">
        <v>871</v>
      </c>
      <c r="M901" s="72">
        <f t="shared" si="164"/>
        <v>128994</v>
      </c>
      <c r="N901" s="72">
        <f t="shared" si="165"/>
        <v>42998</v>
      </c>
      <c r="O901" s="72">
        <v>128994</v>
      </c>
      <c r="P901" s="72">
        <v>72050</v>
      </c>
      <c r="Q901" s="256">
        <f t="shared" si="166"/>
        <v>15851</v>
      </c>
      <c r="R901" s="256">
        <f t="shared" si="167"/>
        <v>87901</v>
      </c>
      <c r="S901" s="296"/>
      <c r="T901" s="3">
        <v>35</v>
      </c>
      <c r="U901" s="305"/>
    </row>
    <row r="902" spans="1:21" ht="15" customHeight="1" x14ac:dyDescent="0.35">
      <c r="A902" s="218" t="s">
        <v>3197</v>
      </c>
      <c r="B902" s="3">
        <v>864</v>
      </c>
      <c r="C902" s="44">
        <v>102001097</v>
      </c>
      <c r="D902" s="18" t="s">
        <v>579</v>
      </c>
      <c r="E902" s="18" t="s">
        <v>2208</v>
      </c>
      <c r="F902" s="7">
        <v>1</v>
      </c>
      <c r="G902" s="3" t="s">
        <v>0</v>
      </c>
      <c r="H902" s="33">
        <v>42004</v>
      </c>
      <c r="I902" s="3" t="s">
        <v>2144</v>
      </c>
      <c r="J902" s="4" t="s">
        <v>1962</v>
      </c>
      <c r="K902" s="51" t="s">
        <v>2145</v>
      </c>
      <c r="L902" s="3" t="s">
        <v>871</v>
      </c>
      <c r="M902" s="72">
        <f t="shared" ref="M902" si="168">O902</f>
        <v>51407.25</v>
      </c>
      <c r="N902" s="72">
        <f t="shared" ref="N902" si="169">O902/F902</f>
        <v>51407.25</v>
      </c>
      <c r="O902" s="72">
        <v>51407.25</v>
      </c>
      <c r="P902" s="72">
        <v>25600</v>
      </c>
      <c r="Q902" s="256">
        <f t="shared" si="166"/>
        <v>5632</v>
      </c>
      <c r="R902" s="256">
        <f t="shared" si="167"/>
        <v>31232</v>
      </c>
      <c r="S902" s="296"/>
      <c r="T902" s="3">
        <v>35</v>
      </c>
      <c r="U902" s="305"/>
    </row>
    <row r="903" spans="1:21" ht="15" customHeight="1" x14ac:dyDescent="0.35">
      <c r="A903" s="218" t="s">
        <v>4169</v>
      </c>
      <c r="B903" s="3">
        <v>865</v>
      </c>
      <c r="C903" s="45">
        <v>10108565</v>
      </c>
      <c r="D903" s="15" t="s">
        <v>264</v>
      </c>
      <c r="E903" s="18" t="s">
        <v>711</v>
      </c>
      <c r="F903" s="12">
        <v>1</v>
      </c>
      <c r="G903" s="3" t="s">
        <v>0</v>
      </c>
      <c r="H903" s="5">
        <v>42558</v>
      </c>
      <c r="I903" s="30" t="s">
        <v>1003</v>
      </c>
      <c r="J903" s="4" t="s">
        <v>1962</v>
      </c>
      <c r="K903" s="14" t="s">
        <v>4170</v>
      </c>
      <c r="L903" s="3" t="s">
        <v>871</v>
      </c>
      <c r="M903" s="72">
        <f>O903</f>
        <v>41914.949999999997</v>
      </c>
      <c r="N903" s="72">
        <f>O903/F903</f>
        <v>41914.949999999997</v>
      </c>
      <c r="O903" s="72">
        <v>41914.949999999997</v>
      </c>
      <c r="P903" s="72">
        <v>18390</v>
      </c>
      <c r="Q903" s="256">
        <f t="shared" si="166"/>
        <v>4045.8</v>
      </c>
      <c r="R903" s="256">
        <f t="shared" si="167"/>
        <v>22435.8</v>
      </c>
      <c r="S903" s="296"/>
      <c r="T903" s="3">
        <v>35</v>
      </c>
      <c r="U903" s="305"/>
    </row>
    <row r="904" spans="1:21" ht="15" customHeight="1" x14ac:dyDescent="0.35">
      <c r="A904" s="218" t="s">
        <v>4175</v>
      </c>
      <c r="B904" s="3">
        <v>866</v>
      </c>
      <c r="C904" s="45">
        <v>10127605</v>
      </c>
      <c r="D904" s="15" t="s">
        <v>269</v>
      </c>
      <c r="E904" s="18" t="s">
        <v>711</v>
      </c>
      <c r="F904" s="7">
        <v>2</v>
      </c>
      <c r="G904" s="3" t="s">
        <v>0</v>
      </c>
      <c r="H904" s="5">
        <v>42004</v>
      </c>
      <c r="I904" s="30" t="s">
        <v>1003</v>
      </c>
      <c r="J904" s="4" t="s">
        <v>1962</v>
      </c>
      <c r="K904" s="14" t="s">
        <v>4176</v>
      </c>
      <c r="L904" s="3" t="s">
        <v>871</v>
      </c>
      <c r="M904" s="72">
        <f>O904</f>
        <v>206372.74</v>
      </c>
      <c r="N904" s="72">
        <f>O904/F904</f>
        <v>103186.37</v>
      </c>
      <c r="O904" s="72">
        <v>206372.74</v>
      </c>
      <c r="P904" s="72">
        <v>102760</v>
      </c>
      <c r="Q904" s="256">
        <f t="shared" si="166"/>
        <v>22607.200000000001</v>
      </c>
      <c r="R904" s="256">
        <f t="shared" si="167"/>
        <v>125367.2</v>
      </c>
      <c r="S904" s="296"/>
      <c r="T904" s="3">
        <v>35</v>
      </c>
      <c r="U904" s="305"/>
    </row>
    <row r="905" spans="1:21" ht="15" customHeight="1" x14ac:dyDescent="0.35">
      <c r="A905" s="220" t="s">
        <v>4179</v>
      </c>
      <c r="B905" s="3">
        <v>867</v>
      </c>
      <c r="C905" s="186">
        <v>102001069</v>
      </c>
      <c r="D905" s="187" t="s">
        <v>4159</v>
      </c>
      <c r="E905" s="145" t="s">
        <v>2236</v>
      </c>
      <c r="F905" s="191">
        <v>2</v>
      </c>
      <c r="G905" s="107" t="s">
        <v>0</v>
      </c>
      <c r="H905" s="188">
        <v>42004</v>
      </c>
      <c r="I905" s="189" t="s">
        <v>1003</v>
      </c>
      <c r="J905" s="180" t="s">
        <v>1962</v>
      </c>
      <c r="K905" s="190" t="s">
        <v>4180</v>
      </c>
      <c r="L905" s="107" t="s">
        <v>871</v>
      </c>
      <c r="M905" s="73">
        <f t="shared" ref="M905" si="170">O905</f>
        <v>97568.03</v>
      </c>
      <c r="N905" s="73">
        <f>O905/F905</f>
        <v>48784.02</v>
      </c>
      <c r="O905" s="73">
        <v>97568.03</v>
      </c>
      <c r="P905" s="72">
        <v>48580</v>
      </c>
      <c r="Q905" s="256">
        <f t="shared" si="166"/>
        <v>10687.6</v>
      </c>
      <c r="R905" s="256">
        <f t="shared" si="167"/>
        <v>59267.6</v>
      </c>
      <c r="S905" s="297"/>
      <c r="T905" s="3">
        <v>35</v>
      </c>
      <c r="U905" s="305"/>
    </row>
    <row r="906" spans="1:21" ht="15" customHeight="1" x14ac:dyDescent="0.35">
      <c r="A906" s="218"/>
      <c r="B906" s="94"/>
      <c r="C906" s="44"/>
      <c r="D906" s="18"/>
      <c r="E906" s="18"/>
      <c r="F906" s="7"/>
      <c r="G906" s="3"/>
      <c r="H906" s="33"/>
      <c r="I906" s="3"/>
      <c r="J906" s="4"/>
      <c r="K906" s="51"/>
      <c r="L906" s="3"/>
      <c r="M906" s="72"/>
      <c r="N906" s="72"/>
      <c r="O906" s="82">
        <f>SUM(O784:O905)</f>
        <v>7503233.1500000004</v>
      </c>
      <c r="P906" s="276">
        <f t="shared" ref="P906:Q906" si="171">SUM(P784:P905)</f>
        <v>3809664</v>
      </c>
      <c r="Q906" s="282">
        <f t="shared" si="171"/>
        <v>838126.07999999996</v>
      </c>
      <c r="R906" s="282">
        <f>SUM(R784:R905)</f>
        <v>4647790.08</v>
      </c>
      <c r="S906" s="286">
        <f>R906/100*10</f>
        <v>464779.01</v>
      </c>
      <c r="T906" s="104">
        <v>35</v>
      </c>
      <c r="U906" s="305"/>
    </row>
    <row r="907" spans="1:21" ht="15" customHeight="1" x14ac:dyDescent="0.35">
      <c r="A907" s="221" t="s">
        <v>3198</v>
      </c>
      <c r="B907" s="192">
        <v>868</v>
      </c>
      <c r="C907" s="193">
        <v>102001160</v>
      </c>
      <c r="D907" s="194" t="s">
        <v>905</v>
      </c>
      <c r="E907" s="195" t="s">
        <v>2201</v>
      </c>
      <c r="F907" s="159">
        <v>2</v>
      </c>
      <c r="G907" s="62" t="s">
        <v>0</v>
      </c>
      <c r="H907" s="160">
        <v>42004</v>
      </c>
      <c r="I907" s="51" t="s">
        <v>999</v>
      </c>
      <c r="J907" s="51" t="s">
        <v>1962</v>
      </c>
      <c r="K907" s="51" t="s">
        <v>988</v>
      </c>
      <c r="L907" s="61" t="s">
        <v>871</v>
      </c>
      <c r="M907" s="161">
        <f t="shared" si="164"/>
        <v>216979</v>
      </c>
      <c r="N907" s="161">
        <f t="shared" ref="N907:N937" si="172">O907/F907</f>
        <v>108489.5</v>
      </c>
      <c r="O907" s="161">
        <v>216979</v>
      </c>
      <c r="P907" s="72">
        <v>108040</v>
      </c>
      <c r="Q907" s="256">
        <f t="shared" ref="Q907:Q938" si="173">R907-P907</f>
        <v>23768.799999999999</v>
      </c>
      <c r="R907" s="256">
        <f t="shared" ref="R907:R938" si="174">P907*1.22</f>
        <v>131808.79999999999</v>
      </c>
      <c r="S907" s="289"/>
      <c r="T907" s="62">
        <v>36</v>
      </c>
      <c r="U907" s="294" t="s">
        <v>2322</v>
      </c>
    </row>
    <row r="908" spans="1:21" ht="15" customHeight="1" x14ac:dyDescent="0.35">
      <c r="A908" s="221" t="s">
        <v>3199</v>
      </c>
      <c r="B908" s="192">
        <v>869</v>
      </c>
      <c r="C908" s="157">
        <v>102001097</v>
      </c>
      <c r="D908" s="158" t="s">
        <v>906</v>
      </c>
      <c r="E908" s="48" t="s">
        <v>2201</v>
      </c>
      <c r="F908" s="159">
        <v>3</v>
      </c>
      <c r="G908" s="62" t="s">
        <v>0</v>
      </c>
      <c r="H908" s="160">
        <v>42004</v>
      </c>
      <c r="I908" s="51" t="s">
        <v>999</v>
      </c>
      <c r="J908" s="51" t="s">
        <v>1962</v>
      </c>
      <c r="K908" s="51" t="s">
        <v>988</v>
      </c>
      <c r="L908" s="61" t="s">
        <v>871</v>
      </c>
      <c r="M908" s="161">
        <f t="shared" si="164"/>
        <v>149417.25</v>
      </c>
      <c r="N908" s="161">
        <f t="shared" si="172"/>
        <v>49805.75</v>
      </c>
      <c r="O908" s="161">
        <v>149417.25</v>
      </c>
      <c r="P908" s="72">
        <v>74400</v>
      </c>
      <c r="Q908" s="256">
        <f t="shared" si="173"/>
        <v>16368</v>
      </c>
      <c r="R908" s="256">
        <f t="shared" si="174"/>
        <v>90768</v>
      </c>
      <c r="S908" s="296"/>
      <c r="T908" s="62">
        <v>36</v>
      </c>
      <c r="U908" s="294"/>
    </row>
    <row r="909" spans="1:21" ht="45" customHeight="1" x14ac:dyDescent="0.35">
      <c r="A909" s="221" t="s">
        <v>3200</v>
      </c>
      <c r="B909" s="62">
        <v>870</v>
      </c>
      <c r="C909" s="157">
        <v>102002108</v>
      </c>
      <c r="D909" s="158" t="s">
        <v>907</v>
      </c>
      <c r="E909" s="48" t="s">
        <v>2201</v>
      </c>
      <c r="F909" s="53">
        <v>1</v>
      </c>
      <c r="G909" s="62" t="s">
        <v>0</v>
      </c>
      <c r="H909" s="160">
        <v>42004</v>
      </c>
      <c r="I909" s="51" t="s">
        <v>999</v>
      </c>
      <c r="J909" s="51" t="s">
        <v>1962</v>
      </c>
      <c r="K909" s="51" t="s">
        <v>988</v>
      </c>
      <c r="L909" s="61" t="s">
        <v>871</v>
      </c>
      <c r="M909" s="161">
        <f t="shared" si="164"/>
        <v>24744.59</v>
      </c>
      <c r="N909" s="161">
        <f t="shared" si="172"/>
        <v>24744.59</v>
      </c>
      <c r="O909" s="161">
        <v>24744.59</v>
      </c>
      <c r="P909" s="72">
        <v>12320</v>
      </c>
      <c r="Q909" s="256">
        <f t="shared" si="173"/>
        <v>2710.4</v>
      </c>
      <c r="R909" s="256">
        <f t="shared" si="174"/>
        <v>15030.4</v>
      </c>
      <c r="S909" s="296"/>
      <c r="T909" s="62">
        <v>36</v>
      </c>
      <c r="U909" s="294"/>
    </row>
    <row r="910" spans="1:21" ht="45" customHeight="1" x14ac:dyDescent="0.35">
      <c r="A910" s="221" t="s">
        <v>3201</v>
      </c>
      <c r="B910" s="192">
        <v>871</v>
      </c>
      <c r="C910" s="157">
        <v>102002093</v>
      </c>
      <c r="D910" s="158" t="s">
        <v>908</v>
      </c>
      <c r="E910" s="48" t="s">
        <v>2201</v>
      </c>
      <c r="F910" s="53">
        <v>1</v>
      </c>
      <c r="G910" s="62" t="s">
        <v>0</v>
      </c>
      <c r="H910" s="160">
        <v>42004</v>
      </c>
      <c r="I910" s="51" t="s">
        <v>999</v>
      </c>
      <c r="J910" s="51" t="s">
        <v>1962</v>
      </c>
      <c r="K910" s="51" t="s">
        <v>988</v>
      </c>
      <c r="L910" s="61" t="s">
        <v>871</v>
      </c>
      <c r="M910" s="161">
        <f t="shared" si="164"/>
        <v>23744</v>
      </c>
      <c r="N910" s="161">
        <f t="shared" si="172"/>
        <v>23744</v>
      </c>
      <c r="O910" s="161">
        <v>23744</v>
      </c>
      <c r="P910" s="72">
        <v>11820</v>
      </c>
      <c r="Q910" s="256">
        <f t="shared" si="173"/>
        <v>2600.4</v>
      </c>
      <c r="R910" s="256">
        <f t="shared" si="174"/>
        <v>14420.4</v>
      </c>
      <c r="S910" s="296"/>
      <c r="T910" s="62">
        <v>36</v>
      </c>
      <c r="U910" s="294"/>
    </row>
    <row r="911" spans="1:21" ht="45" customHeight="1" x14ac:dyDescent="0.35">
      <c r="A911" s="221" t="s">
        <v>3202</v>
      </c>
      <c r="B911" s="192">
        <v>872</v>
      </c>
      <c r="C911" s="157">
        <v>102001222</v>
      </c>
      <c r="D911" s="158" t="s">
        <v>909</v>
      </c>
      <c r="E911" s="48" t="s">
        <v>2201</v>
      </c>
      <c r="F911" s="53">
        <v>1</v>
      </c>
      <c r="G911" s="62" t="s">
        <v>0</v>
      </c>
      <c r="H911" s="160">
        <v>42004</v>
      </c>
      <c r="I911" s="51" t="s">
        <v>999</v>
      </c>
      <c r="J911" s="51" t="s">
        <v>1962</v>
      </c>
      <c r="K911" s="51" t="s">
        <v>988</v>
      </c>
      <c r="L911" s="61" t="s">
        <v>871</v>
      </c>
      <c r="M911" s="161">
        <f t="shared" si="164"/>
        <v>23750.71</v>
      </c>
      <c r="N911" s="161">
        <f t="shared" si="172"/>
        <v>23750.71</v>
      </c>
      <c r="O911" s="161">
        <v>23750.71</v>
      </c>
      <c r="P911" s="72">
        <v>11830</v>
      </c>
      <c r="Q911" s="256">
        <f t="shared" si="173"/>
        <v>2602.6</v>
      </c>
      <c r="R911" s="256">
        <f t="shared" si="174"/>
        <v>14432.6</v>
      </c>
      <c r="S911" s="296"/>
      <c r="T911" s="62">
        <v>36</v>
      </c>
      <c r="U911" s="294"/>
    </row>
    <row r="912" spans="1:21" ht="45" customHeight="1" x14ac:dyDescent="0.35">
      <c r="A912" s="221" t="s">
        <v>3203</v>
      </c>
      <c r="B912" s="62">
        <v>873</v>
      </c>
      <c r="C912" s="157">
        <v>102002120</v>
      </c>
      <c r="D912" s="158" t="s">
        <v>910</v>
      </c>
      <c r="E912" s="48" t="s">
        <v>2201</v>
      </c>
      <c r="F912" s="53">
        <v>1</v>
      </c>
      <c r="G912" s="62" t="s">
        <v>0</v>
      </c>
      <c r="H912" s="160">
        <v>42004</v>
      </c>
      <c r="I912" s="51" t="s">
        <v>999</v>
      </c>
      <c r="J912" s="51" t="s">
        <v>1962</v>
      </c>
      <c r="K912" s="51" t="s">
        <v>988</v>
      </c>
      <c r="L912" s="61" t="s">
        <v>871</v>
      </c>
      <c r="M912" s="161">
        <f t="shared" si="164"/>
        <v>22357.53</v>
      </c>
      <c r="N912" s="161">
        <f t="shared" si="172"/>
        <v>22357.53</v>
      </c>
      <c r="O912" s="161">
        <v>22357.53</v>
      </c>
      <c r="P912" s="72">
        <v>11130</v>
      </c>
      <c r="Q912" s="256">
        <f t="shared" si="173"/>
        <v>2448.6</v>
      </c>
      <c r="R912" s="256">
        <f t="shared" si="174"/>
        <v>13578.6</v>
      </c>
      <c r="S912" s="296"/>
      <c r="T912" s="62">
        <v>36</v>
      </c>
      <c r="U912" s="294"/>
    </row>
    <row r="913" spans="1:21" ht="18.75" customHeight="1" x14ac:dyDescent="0.35">
      <c r="A913" s="221" t="s">
        <v>3204</v>
      </c>
      <c r="B913" s="192">
        <v>874</v>
      </c>
      <c r="C913" s="157">
        <v>102002066</v>
      </c>
      <c r="D913" s="158" t="s">
        <v>911</v>
      </c>
      <c r="E913" s="48" t="s">
        <v>2201</v>
      </c>
      <c r="F913" s="159">
        <v>2</v>
      </c>
      <c r="G913" s="62" t="s">
        <v>0</v>
      </c>
      <c r="H913" s="160">
        <v>42004</v>
      </c>
      <c r="I913" s="51" t="s">
        <v>999</v>
      </c>
      <c r="J913" s="51" t="s">
        <v>1962</v>
      </c>
      <c r="K913" s="51" t="s">
        <v>988</v>
      </c>
      <c r="L913" s="61" t="s">
        <v>871</v>
      </c>
      <c r="M913" s="161">
        <f t="shared" si="164"/>
        <v>50140.02</v>
      </c>
      <c r="N913" s="161">
        <f t="shared" si="172"/>
        <v>25070.01</v>
      </c>
      <c r="O913" s="161">
        <v>50140.02</v>
      </c>
      <c r="P913" s="72">
        <v>24970</v>
      </c>
      <c r="Q913" s="256">
        <f t="shared" si="173"/>
        <v>5493.4</v>
      </c>
      <c r="R913" s="256">
        <f t="shared" si="174"/>
        <v>30463.4</v>
      </c>
      <c r="S913" s="296"/>
      <c r="T913" s="62">
        <v>36</v>
      </c>
      <c r="U913" s="294"/>
    </row>
    <row r="914" spans="1:21" ht="30" customHeight="1" x14ac:dyDescent="0.35">
      <c r="A914" s="221" t="s">
        <v>3205</v>
      </c>
      <c r="B914" s="192">
        <v>875</v>
      </c>
      <c r="C914" s="157">
        <v>102002133</v>
      </c>
      <c r="D914" s="158" t="s">
        <v>912</v>
      </c>
      <c r="E914" s="48" t="s">
        <v>2201</v>
      </c>
      <c r="F914" s="53">
        <v>1</v>
      </c>
      <c r="G914" s="62" t="s">
        <v>0</v>
      </c>
      <c r="H914" s="160">
        <v>42004</v>
      </c>
      <c r="I914" s="51" t="s">
        <v>999</v>
      </c>
      <c r="J914" s="51" t="s">
        <v>1962</v>
      </c>
      <c r="K914" s="51" t="s">
        <v>988</v>
      </c>
      <c r="L914" s="61" t="s">
        <v>871</v>
      </c>
      <c r="M914" s="161">
        <f t="shared" si="164"/>
        <v>33173</v>
      </c>
      <c r="N914" s="161">
        <f t="shared" si="172"/>
        <v>33173</v>
      </c>
      <c r="O914" s="161">
        <v>33173</v>
      </c>
      <c r="P914" s="72">
        <v>16520</v>
      </c>
      <c r="Q914" s="256">
        <f t="shared" si="173"/>
        <v>3634.4</v>
      </c>
      <c r="R914" s="256">
        <f t="shared" si="174"/>
        <v>20154.400000000001</v>
      </c>
      <c r="S914" s="296"/>
      <c r="T914" s="62">
        <v>36</v>
      </c>
      <c r="U914" s="294"/>
    </row>
    <row r="915" spans="1:21" ht="30" customHeight="1" x14ac:dyDescent="0.35">
      <c r="A915" s="221" t="s">
        <v>3206</v>
      </c>
      <c r="B915" s="62">
        <v>876</v>
      </c>
      <c r="C915" s="157">
        <v>102000955</v>
      </c>
      <c r="D915" s="158" t="s">
        <v>913</v>
      </c>
      <c r="E915" s="48" t="s">
        <v>2201</v>
      </c>
      <c r="F915" s="53">
        <v>1</v>
      </c>
      <c r="G915" s="62" t="s">
        <v>0</v>
      </c>
      <c r="H915" s="160">
        <v>42004</v>
      </c>
      <c r="I915" s="51" t="s">
        <v>999</v>
      </c>
      <c r="J915" s="51" t="s">
        <v>1962</v>
      </c>
      <c r="K915" s="51" t="s">
        <v>988</v>
      </c>
      <c r="L915" s="61" t="s">
        <v>871</v>
      </c>
      <c r="M915" s="161">
        <f t="shared" si="164"/>
        <v>28234.65</v>
      </c>
      <c r="N915" s="161">
        <f t="shared" si="172"/>
        <v>28234.65</v>
      </c>
      <c r="O915" s="161">
        <v>28234.65</v>
      </c>
      <c r="P915" s="72">
        <v>14060</v>
      </c>
      <c r="Q915" s="256">
        <f t="shared" si="173"/>
        <v>3093.2</v>
      </c>
      <c r="R915" s="256">
        <f t="shared" si="174"/>
        <v>17153.2</v>
      </c>
      <c r="S915" s="296"/>
      <c r="T915" s="62">
        <v>36</v>
      </c>
      <c r="U915" s="294"/>
    </row>
    <row r="916" spans="1:21" ht="30" customHeight="1" x14ac:dyDescent="0.35">
      <c r="A916" s="221" t="s">
        <v>3207</v>
      </c>
      <c r="B916" s="192">
        <v>877</v>
      </c>
      <c r="C916" s="157">
        <v>102001069</v>
      </c>
      <c r="D916" s="158" t="s">
        <v>915</v>
      </c>
      <c r="E916" s="48" t="s">
        <v>2201</v>
      </c>
      <c r="F916" s="53">
        <v>1</v>
      </c>
      <c r="G916" s="62" t="s">
        <v>0</v>
      </c>
      <c r="H916" s="160">
        <v>42004</v>
      </c>
      <c r="I916" s="51" t="s">
        <v>999</v>
      </c>
      <c r="J916" s="51" t="s">
        <v>1962</v>
      </c>
      <c r="K916" s="51" t="s">
        <v>988</v>
      </c>
      <c r="L916" s="61" t="s">
        <v>871</v>
      </c>
      <c r="M916" s="161">
        <f t="shared" ref="M916:M949" si="175">O916</f>
        <v>31368.09</v>
      </c>
      <c r="N916" s="161">
        <f t="shared" si="172"/>
        <v>31368.09</v>
      </c>
      <c r="O916" s="161">
        <v>31368.09</v>
      </c>
      <c r="P916" s="72">
        <v>15620</v>
      </c>
      <c r="Q916" s="256">
        <f t="shared" si="173"/>
        <v>3436.4</v>
      </c>
      <c r="R916" s="256">
        <f t="shared" si="174"/>
        <v>19056.400000000001</v>
      </c>
      <c r="S916" s="296"/>
      <c r="T916" s="62">
        <v>36</v>
      </c>
      <c r="U916" s="294"/>
    </row>
    <row r="917" spans="1:21" ht="30" customHeight="1" x14ac:dyDescent="0.35">
      <c r="A917" s="221" t="s">
        <v>3208</v>
      </c>
      <c r="B917" s="192">
        <v>878</v>
      </c>
      <c r="C917" s="157">
        <v>102001030</v>
      </c>
      <c r="D917" s="158" t="s">
        <v>938</v>
      </c>
      <c r="E917" s="48" t="s">
        <v>2201</v>
      </c>
      <c r="F917" s="53">
        <v>1</v>
      </c>
      <c r="G917" s="62" t="s">
        <v>0</v>
      </c>
      <c r="H917" s="160">
        <v>42004</v>
      </c>
      <c r="I917" s="51" t="s">
        <v>999</v>
      </c>
      <c r="J917" s="51" t="s">
        <v>1962</v>
      </c>
      <c r="K917" s="51" t="s">
        <v>988</v>
      </c>
      <c r="L917" s="61" t="s">
        <v>871</v>
      </c>
      <c r="M917" s="161">
        <f t="shared" si="175"/>
        <v>66236.61</v>
      </c>
      <c r="N917" s="161">
        <f t="shared" si="172"/>
        <v>66236.61</v>
      </c>
      <c r="O917" s="161">
        <v>66236.61</v>
      </c>
      <c r="P917" s="72">
        <v>32980</v>
      </c>
      <c r="Q917" s="256">
        <f t="shared" si="173"/>
        <v>7255.6</v>
      </c>
      <c r="R917" s="256">
        <f t="shared" si="174"/>
        <v>40235.599999999999</v>
      </c>
      <c r="S917" s="296"/>
      <c r="T917" s="62">
        <v>36</v>
      </c>
      <c r="U917" s="294"/>
    </row>
    <row r="918" spans="1:21" ht="30" customHeight="1" x14ac:dyDescent="0.35">
      <c r="A918" s="221" t="s">
        <v>3209</v>
      </c>
      <c r="B918" s="62">
        <v>879</v>
      </c>
      <c r="C918" s="157">
        <v>10107106</v>
      </c>
      <c r="D918" s="158" t="s">
        <v>875</v>
      </c>
      <c r="E918" s="48" t="s">
        <v>2201</v>
      </c>
      <c r="F918" s="159">
        <v>2</v>
      </c>
      <c r="G918" s="62" t="s">
        <v>0</v>
      </c>
      <c r="H918" s="160">
        <v>42570</v>
      </c>
      <c r="I918" s="51" t="s">
        <v>999</v>
      </c>
      <c r="J918" s="51" t="s">
        <v>1962</v>
      </c>
      <c r="K918" s="51" t="s">
        <v>988</v>
      </c>
      <c r="L918" s="61" t="s">
        <v>871</v>
      </c>
      <c r="M918" s="161">
        <f t="shared" si="175"/>
        <v>4941.76</v>
      </c>
      <c r="N918" s="161">
        <f t="shared" si="172"/>
        <v>2470.88</v>
      </c>
      <c r="O918" s="161">
        <v>4941.76</v>
      </c>
      <c r="P918" s="72">
        <v>2170</v>
      </c>
      <c r="Q918" s="256">
        <f t="shared" si="173"/>
        <v>477.4</v>
      </c>
      <c r="R918" s="256">
        <f t="shared" si="174"/>
        <v>2647.4</v>
      </c>
      <c r="S918" s="296"/>
      <c r="T918" s="62">
        <v>36</v>
      </c>
      <c r="U918" s="294"/>
    </row>
    <row r="919" spans="1:21" ht="15" customHeight="1" x14ac:dyDescent="0.35">
      <c r="A919" s="221" t="s">
        <v>3210</v>
      </c>
      <c r="B919" s="192">
        <v>880</v>
      </c>
      <c r="C919" s="157">
        <v>10107124</v>
      </c>
      <c r="D919" s="158" t="s">
        <v>876</v>
      </c>
      <c r="E919" s="48" t="s">
        <v>2201</v>
      </c>
      <c r="F919" s="53">
        <v>1</v>
      </c>
      <c r="G919" s="62" t="s">
        <v>0</v>
      </c>
      <c r="H919" s="160">
        <v>42360</v>
      </c>
      <c r="I919" s="51" t="s">
        <v>999</v>
      </c>
      <c r="J919" s="51" t="s">
        <v>1962</v>
      </c>
      <c r="K919" s="51" t="s">
        <v>988</v>
      </c>
      <c r="L919" s="61" t="s">
        <v>871</v>
      </c>
      <c r="M919" s="161">
        <f t="shared" si="175"/>
        <v>20213.080000000002</v>
      </c>
      <c r="N919" s="161">
        <f t="shared" si="172"/>
        <v>20213.080000000002</v>
      </c>
      <c r="O919" s="161">
        <v>20213.080000000002</v>
      </c>
      <c r="P919" s="72">
        <v>9400</v>
      </c>
      <c r="Q919" s="256">
        <f t="shared" si="173"/>
        <v>2068</v>
      </c>
      <c r="R919" s="256">
        <f t="shared" si="174"/>
        <v>11468</v>
      </c>
      <c r="S919" s="296"/>
      <c r="T919" s="62">
        <v>36</v>
      </c>
      <c r="U919" s="294"/>
    </row>
    <row r="920" spans="1:21" ht="15" customHeight="1" x14ac:dyDescent="0.35">
      <c r="A920" s="221" t="s">
        <v>3211</v>
      </c>
      <c r="B920" s="192">
        <v>881</v>
      </c>
      <c r="C920" s="157">
        <v>102001234</v>
      </c>
      <c r="D920" s="158" t="s">
        <v>931</v>
      </c>
      <c r="E920" s="48" t="s">
        <v>2197</v>
      </c>
      <c r="F920" s="53">
        <v>1</v>
      </c>
      <c r="G920" s="62" t="s">
        <v>0</v>
      </c>
      <c r="H920" s="196">
        <v>2010</v>
      </c>
      <c r="I920" s="51" t="s">
        <v>999</v>
      </c>
      <c r="J920" s="51" t="s">
        <v>1962</v>
      </c>
      <c r="K920" s="51" t="s">
        <v>988</v>
      </c>
      <c r="L920" s="61" t="s">
        <v>871</v>
      </c>
      <c r="M920" s="161">
        <f t="shared" si="175"/>
        <v>125530</v>
      </c>
      <c r="N920" s="161">
        <f t="shared" si="172"/>
        <v>125530</v>
      </c>
      <c r="O920" s="161">
        <v>125530</v>
      </c>
      <c r="P920" s="72">
        <v>70120</v>
      </c>
      <c r="Q920" s="256">
        <f t="shared" si="173"/>
        <v>15426.4</v>
      </c>
      <c r="R920" s="256">
        <f t="shared" si="174"/>
        <v>85546.4</v>
      </c>
      <c r="S920" s="296"/>
      <c r="T920" s="62">
        <v>36</v>
      </c>
      <c r="U920" s="294"/>
    </row>
    <row r="921" spans="1:21" ht="15" customHeight="1" x14ac:dyDescent="0.35">
      <c r="A921" s="221" t="s">
        <v>3212</v>
      </c>
      <c r="B921" s="62">
        <v>882</v>
      </c>
      <c r="C921" s="157">
        <v>10137216</v>
      </c>
      <c r="D921" s="158" t="s">
        <v>932</v>
      </c>
      <c r="E921" s="48" t="s">
        <v>2197</v>
      </c>
      <c r="F921" s="159">
        <v>5</v>
      </c>
      <c r="G921" s="62" t="s">
        <v>0</v>
      </c>
      <c r="H921" s="196">
        <v>2010</v>
      </c>
      <c r="I921" s="51" t="s">
        <v>999</v>
      </c>
      <c r="J921" s="51" t="s">
        <v>1962</v>
      </c>
      <c r="K921" s="51" t="s">
        <v>988</v>
      </c>
      <c r="L921" s="61" t="s">
        <v>871</v>
      </c>
      <c r="M921" s="161">
        <f t="shared" si="175"/>
        <v>111250</v>
      </c>
      <c r="N921" s="161">
        <f t="shared" si="172"/>
        <v>22250</v>
      </c>
      <c r="O921" s="161">
        <v>111250</v>
      </c>
      <c r="P921" s="72">
        <v>62140</v>
      </c>
      <c r="Q921" s="256">
        <f t="shared" si="173"/>
        <v>13670.8</v>
      </c>
      <c r="R921" s="256">
        <f t="shared" si="174"/>
        <v>75810.8</v>
      </c>
      <c r="S921" s="296"/>
      <c r="T921" s="62">
        <v>36</v>
      </c>
      <c r="U921" s="294"/>
    </row>
    <row r="922" spans="1:21" ht="15" customHeight="1" x14ac:dyDescent="0.35">
      <c r="A922" s="221" t="s">
        <v>3213</v>
      </c>
      <c r="B922" s="192">
        <v>883</v>
      </c>
      <c r="C922" s="157">
        <v>10137217</v>
      </c>
      <c r="D922" s="158" t="s">
        <v>933</v>
      </c>
      <c r="E922" s="48" t="s">
        <v>2197</v>
      </c>
      <c r="F922" s="159">
        <v>5</v>
      </c>
      <c r="G922" s="62" t="s">
        <v>0</v>
      </c>
      <c r="H922" s="196">
        <v>2010</v>
      </c>
      <c r="I922" s="51" t="s">
        <v>999</v>
      </c>
      <c r="J922" s="51" t="s">
        <v>1962</v>
      </c>
      <c r="K922" s="51" t="s">
        <v>988</v>
      </c>
      <c r="L922" s="61" t="s">
        <v>871</v>
      </c>
      <c r="M922" s="161">
        <f t="shared" si="175"/>
        <v>119440</v>
      </c>
      <c r="N922" s="161">
        <f t="shared" si="172"/>
        <v>23888</v>
      </c>
      <c r="O922" s="161">
        <v>119440</v>
      </c>
      <c r="P922" s="72">
        <v>66710</v>
      </c>
      <c r="Q922" s="256">
        <f t="shared" si="173"/>
        <v>14676.2</v>
      </c>
      <c r="R922" s="256">
        <f t="shared" si="174"/>
        <v>81386.2</v>
      </c>
      <c r="S922" s="296"/>
      <c r="T922" s="62">
        <v>36</v>
      </c>
      <c r="U922" s="294"/>
    </row>
    <row r="923" spans="1:21" ht="15" customHeight="1" x14ac:dyDescent="0.35">
      <c r="A923" s="221" t="s">
        <v>3215</v>
      </c>
      <c r="B923" s="192">
        <v>884</v>
      </c>
      <c r="C923" s="157">
        <v>10031308</v>
      </c>
      <c r="D923" s="158" t="s">
        <v>935</v>
      </c>
      <c r="E923" s="48" t="s">
        <v>4085</v>
      </c>
      <c r="F923" s="159">
        <v>48</v>
      </c>
      <c r="G923" s="62" t="s">
        <v>0</v>
      </c>
      <c r="H923" s="160">
        <v>42962</v>
      </c>
      <c r="I923" s="51" t="s">
        <v>999</v>
      </c>
      <c r="J923" s="197" t="s">
        <v>982</v>
      </c>
      <c r="K923" s="51" t="s">
        <v>988</v>
      </c>
      <c r="L923" s="61" t="s">
        <v>871</v>
      </c>
      <c r="M923" s="161">
        <f t="shared" si="175"/>
        <v>9824.1299999999992</v>
      </c>
      <c r="N923" s="161">
        <f t="shared" si="172"/>
        <v>204.67</v>
      </c>
      <c r="O923" s="161">
        <v>9824.1299999999992</v>
      </c>
      <c r="P923" s="72">
        <v>4220</v>
      </c>
      <c r="Q923" s="256">
        <f t="shared" si="173"/>
        <v>928.4</v>
      </c>
      <c r="R923" s="256">
        <f t="shared" si="174"/>
        <v>5148.3999999999996</v>
      </c>
      <c r="S923" s="296"/>
      <c r="T923" s="62">
        <v>36</v>
      </c>
      <c r="U923" s="294"/>
    </row>
    <row r="924" spans="1:21" ht="15" customHeight="1" x14ac:dyDescent="0.35">
      <c r="A924" s="221" t="s">
        <v>3216</v>
      </c>
      <c r="B924" s="62">
        <v>885</v>
      </c>
      <c r="C924" s="157">
        <v>102000696</v>
      </c>
      <c r="D924" s="158" t="s">
        <v>936</v>
      </c>
      <c r="E924" s="48" t="s">
        <v>4085</v>
      </c>
      <c r="F924" s="53">
        <v>1</v>
      </c>
      <c r="G924" s="62" t="s">
        <v>0</v>
      </c>
      <c r="H924" s="160">
        <v>42430</v>
      </c>
      <c r="I924" s="51" t="s">
        <v>999</v>
      </c>
      <c r="J924" s="197" t="s">
        <v>986</v>
      </c>
      <c r="K924" s="51" t="s">
        <v>988</v>
      </c>
      <c r="L924" s="61" t="s">
        <v>871</v>
      </c>
      <c r="M924" s="161">
        <f t="shared" si="175"/>
        <v>13634.77</v>
      </c>
      <c r="N924" s="161">
        <f t="shared" si="172"/>
        <v>13634.77</v>
      </c>
      <c r="O924" s="161">
        <v>13634.77</v>
      </c>
      <c r="P924" s="72">
        <v>6040</v>
      </c>
      <c r="Q924" s="256">
        <f t="shared" si="173"/>
        <v>1328.8</v>
      </c>
      <c r="R924" s="256">
        <f t="shared" si="174"/>
        <v>7368.8</v>
      </c>
      <c r="S924" s="296"/>
      <c r="T924" s="62">
        <v>36</v>
      </c>
      <c r="U924" s="294"/>
    </row>
    <row r="925" spans="1:21" ht="15" customHeight="1" x14ac:dyDescent="0.35">
      <c r="A925" s="221" t="s">
        <v>3217</v>
      </c>
      <c r="B925" s="192">
        <v>886</v>
      </c>
      <c r="C925" s="157">
        <v>10043765</v>
      </c>
      <c r="D925" s="158" t="s">
        <v>937</v>
      </c>
      <c r="E925" s="48" t="s">
        <v>4085</v>
      </c>
      <c r="F925" s="159">
        <v>17</v>
      </c>
      <c r="G925" s="62" t="s">
        <v>0</v>
      </c>
      <c r="H925" s="160">
        <v>42004</v>
      </c>
      <c r="I925" s="51" t="s">
        <v>999</v>
      </c>
      <c r="J925" s="51" t="s">
        <v>1962</v>
      </c>
      <c r="K925" s="51" t="s">
        <v>988</v>
      </c>
      <c r="L925" s="61" t="s">
        <v>871</v>
      </c>
      <c r="M925" s="161">
        <f t="shared" si="175"/>
        <v>306068</v>
      </c>
      <c r="N925" s="161">
        <f t="shared" si="172"/>
        <v>18004</v>
      </c>
      <c r="O925" s="161">
        <v>306068</v>
      </c>
      <c r="P925" s="72">
        <v>152400</v>
      </c>
      <c r="Q925" s="256">
        <f t="shared" si="173"/>
        <v>33528</v>
      </c>
      <c r="R925" s="256">
        <f t="shared" si="174"/>
        <v>185928</v>
      </c>
      <c r="S925" s="296"/>
      <c r="T925" s="62">
        <v>36</v>
      </c>
      <c r="U925" s="294"/>
    </row>
    <row r="926" spans="1:21" ht="15" customHeight="1" x14ac:dyDescent="0.35">
      <c r="A926" s="221" t="s">
        <v>3218</v>
      </c>
      <c r="B926" s="192">
        <v>887</v>
      </c>
      <c r="C926" s="157">
        <v>10137457</v>
      </c>
      <c r="D926" s="158" t="s">
        <v>939</v>
      </c>
      <c r="E926" s="48" t="s">
        <v>2197</v>
      </c>
      <c r="F926" s="53">
        <v>1</v>
      </c>
      <c r="G926" s="62" t="s">
        <v>0</v>
      </c>
      <c r="H926" s="196" t="s">
        <v>2195</v>
      </c>
      <c r="I926" s="51" t="s">
        <v>999</v>
      </c>
      <c r="J926" s="51" t="s">
        <v>1962</v>
      </c>
      <c r="K926" s="51" t="s">
        <v>988</v>
      </c>
      <c r="L926" s="61" t="s">
        <v>871</v>
      </c>
      <c r="M926" s="161">
        <f t="shared" si="175"/>
        <v>155747</v>
      </c>
      <c r="N926" s="161">
        <f t="shared" si="172"/>
        <v>155747</v>
      </c>
      <c r="O926" s="161">
        <v>155747</v>
      </c>
      <c r="P926" s="72">
        <v>86990</v>
      </c>
      <c r="Q926" s="256">
        <f t="shared" si="173"/>
        <v>19137.8</v>
      </c>
      <c r="R926" s="256">
        <f t="shared" si="174"/>
        <v>106127.8</v>
      </c>
      <c r="S926" s="296"/>
      <c r="T926" s="62">
        <v>36</v>
      </c>
      <c r="U926" s="294"/>
    </row>
    <row r="927" spans="1:21" ht="35.25" customHeight="1" x14ac:dyDescent="0.35">
      <c r="A927" s="221" t="s">
        <v>3219</v>
      </c>
      <c r="B927" s="62">
        <v>888</v>
      </c>
      <c r="C927" s="157">
        <v>10137503</v>
      </c>
      <c r="D927" s="158" t="s">
        <v>940</v>
      </c>
      <c r="E927" s="48" t="s">
        <v>2197</v>
      </c>
      <c r="F927" s="53">
        <v>1</v>
      </c>
      <c r="G927" s="62" t="s">
        <v>0</v>
      </c>
      <c r="H927" s="196" t="s">
        <v>2195</v>
      </c>
      <c r="I927" s="51" t="s">
        <v>999</v>
      </c>
      <c r="J927" s="51" t="s">
        <v>1962</v>
      </c>
      <c r="K927" s="51" t="s">
        <v>988</v>
      </c>
      <c r="L927" s="61" t="s">
        <v>871</v>
      </c>
      <c r="M927" s="161">
        <f t="shared" si="175"/>
        <v>92956</v>
      </c>
      <c r="N927" s="161">
        <f t="shared" si="172"/>
        <v>92956</v>
      </c>
      <c r="O927" s="161">
        <v>92956</v>
      </c>
      <c r="P927" s="72">
        <v>51920</v>
      </c>
      <c r="Q927" s="256">
        <f t="shared" si="173"/>
        <v>11422.4</v>
      </c>
      <c r="R927" s="256">
        <f t="shared" si="174"/>
        <v>63342.400000000001</v>
      </c>
      <c r="S927" s="296"/>
      <c r="T927" s="62">
        <v>36</v>
      </c>
      <c r="U927" s="294"/>
    </row>
    <row r="928" spans="1:21" ht="60" customHeight="1" x14ac:dyDescent="0.35">
      <c r="A928" s="221" t="s">
        <v>3220</v>
      </c>
      <c r="B928" s="192">
        <v>889</v>
      </c>
      <c r="C928" s="157">
        <v>10137502</v>
      </c>
      <c r="D928" s="158" t="s">
        <v>941</v>
      </c>
      <c r="E928" s="48" t="s">
        <v>2197</v>
      </c>
      <c r="F928" s="159">
        <v>2</v>
      </c>
      <c r="G928" s="62" t="s">
        <v>0</v>
      </c>
      <c r="H928" s="196" t="s">
        <v>2195</v>
      </c>
      <c r="I928" s="51" t="s">
        <v>999</v>
      </c>
      <c r="J928" s="51" t="s">
        <v>1962</v>
      </c>
      <c r="K928" s="51" t="s">
        <v>988</v>
      </c>
      <c r="L928" s="61" t="s">
        <v>871</v>
      </c>
      <c r="M928" s="161">
        <f t="shared" si="175"/>
        <v>387660</v>
      </c>
      <c r="N928" s="161">
        <f t="shared" si="172"/>
        <v>193830</v>
      </c>
      <c r="O928" s="161">
        <v>387660</v>
      </c>
      <c r="P928" s="72">
        <v>216530</v>
      </c>
      <c r="Q928" s="256">
        <f t="shared" si="173"/>
        <v>47636.6</v>
      </c>
      <c r="R928" s="256">
        <f t="shared" si="174"/>
        <v>264166.59999999998</v>
      </c>
      <c r="S928" s="296"/>
      <c r="T928" s="62">
        <v>36</v>
      </c>
      <c r="U928" s="294"/>
    </row>
    <row r="929" spans="1:21" ht="15" customHeight="1" x14ac:dyDescent="0.35">
      <c r="A929" s="221" t="s">
        <v>3221</v>
      </c>
      <c r="B929" s="192">
        <v>890</v>
      </c>
      <c r="C929" s="157">
        <v>10137501</v>
      </c>
      <c r="D929" s="158" t="s">
        <v>942</v>
      </c>
      <c r="E929" s="48" t="s">
        <v>2197</v>
      </c>
      <c r="F929" s="159">
        <v>2</v>
      </c>
      <c r="G929" s="62" t="s">
        <v>0</v>
      </c>
      <c r="H929" s="196" t="s">
        <v>2195</v>
      </c>
      <c r="I929" s="51" t="s">
        <v>999</v>
      </c>
      <c r="J929" s="51" t="s">
        <v>1962</v>
      </c>
      <c r="K929" s="51" t="s">
        <v>988</v>
      </c>
      <c r="L929" s="61" t="s">
        <v>871</v>
      </c>
      <c r="M929" s="161">
        <f t="shared" si="175"/>
        <v>388480</v>
      </c>
      <c r="N929" s="161">
        <f t="shared" si="172"/>
        <v>194240</v>
      </c>
      <c r="O929" s="161">
        <v>388480</v>
      </c>
      <c r="P929" s="72">
        <v>216990</v>
      </c>
      <c r="Q929" s="256">
        <f t="shared" si="173"/>
        <v>47737.8</v>
      </c>
      <c r="R929" s="256">
        <f t="shared" si="174"/>
        <v>264727.8</v>
      </c>
      <c r="S929" s="296"/>
      <c r="T929" s="62">
        <v>36</v>
      </c>
      <c r="U929" s="294"/>
    </row>
    <row r="930" spans="1:21" ht="15" customHeight="1" x14ac:dyDescent="0.35">
      <c r="A930" s="221" t="s">
        <v>3222</v>
      </c>
      <c r="B930" s="62">
        <v>891</v>
      </c>
      <c r="C930" s="157">
        <v>10137504</v>
      </c>
      <c r="D930" s="158" t="s">
        <v>943</v>
      </c>
      <c r="E930" s="48" t="s">
        <v>2197</v>
      </c>
      <c r="F930" s="159">
        <v>2</v>
      </c>
      <c r="G930" s="62" t="s">
        <v>0</v>
      </c>
      <c r="H930" s="196" t="s">
        <v>2195</v>
      </c>
      <c r="I930" s="51" t="s">
        <v>999</v>
      </c>
      <c r="J930" s="51" t="s">
        <v>1962</v>
      </c>
      <c r="K930" s="51" t="s">
        <v>988</v>
      </c>
      <c r="L930" s="61" t="s">
        <v>871</v>
      </c>
      <c r="M930" s="161">
        <f t="shared" si="175"/>
        <v>411140</v>
      </c>
      <c r="N930" s="161">
        <f t="shared" si="172"/>
        <v>205570</v>
      </c>
      <c r="O930" s="161">
        <v>411140</v>
      </c>
      <c r="P930" s="72">
        <v>229650</v>
      </c>
      <c r="Q930" s="256">
        <f t="shared" si="173"/>
        <v>50523</v>
      </c>
      <c r="R930" s="256">
        <f t="shared" si="174"/>
        <v>280173</v>
      </c>
      <c r="S930" s="296"/>
      <c r="T930" s="62">
        <v>36</v>
      </c>
      <c r="U930" s="294"/>
    </row>
    <row r="931" spans="1:21" ht="45" customHeight="1" x14ac:dyDescent="0.35">
      <c r="A931" s="221" t="s">
        <v>3223</v>
      </c>
      <c r="B931" s="192">
        <v>892</v>
      </c>
      <c r="C931" s="157">
        <v>10137424</v>
      </c>
      <c r="D931" s="158" t="s">
        <v>944</v>
      </c>
      <c r="E931" s="48" t="s">
        <v>2197</v>
      </c>
      <c r="F931" s="53">
        <v>1</v>
      </c>
      <c r="G931" s="62" t="s">
        <v>0</v>
      </c>
      <c r="H931" s="196" t="s">
        <v>2195</v>
      </c>
      <c r="I931" s="51" t="s">
        <v>999</v>
      </c>
      <c r="J931" s="51" t="s">
        <v>1962</v>
      </c>
      <c r="K931" s="51" t="s">
        <v>988</v>
      </c>
      <c r="L931" s="61" t="s">
        <v>871</v>
      </c>
      <c r="M931" s="161">
        <f t="shared" si="175"/>
        <v>108518</v>
      </c>
      <c r="N931" s="161">
        <f t="shared" si="172"/>
        <v>108518</v>
      </c>
      <c r="O931" s="161">
        <v>108518</v>
      </c>
      <c r="P931" s="72">
        <v>60610</v>
      </c>
      <c r="Q931" s="256">
        <f t="shared" si="173"/>
        <v>13334.2</v>
      </c>
      <c r="R931" s="256">
        <f t="shared" si="174"/>
        <v>73944.2</v>
      </c>
      <c r="S931" s="296"/>
      <c r="T931" s="62">
        <v>36</v>
      </c>
      <c r="U931" s="294"/>
    </row>
    <row r="932" spans="1:21" ht="15" customHeight="1" x14ac:dyDescent="0.35">
      <c r="A932" s="221" t="s">
        <v>3224</v>
      </c>
      <c r="B932" s="192">
        <v>893</v>
      </c>
      <c r="C932" s="157">
        <v>10137472</v>
      </c>
      <c r="D932" s="158" t="s">
        <v>945</v>
      </c>
      <c r="E932" s="48" t="s">
        <v>2197</v>
      </c>
      <c r="F932" s="53">
        <v>1</v>
      </c>
      <c r="G932" s="62" t="s">
        <v>0</v>
      </c>
      <c r="H932" s="196" t="s">
        <v>2195</v>
      </c>
      <c r="I932" s="51" t="s">
        <v>999</v>
      </c>
      <c r="J932" s="51" t="s">
        <v>1962</v>
      </c>
      <c r="K932" s="51" t="s">
        <v>988</v>
      </c>
      <c r="L932" s="61" t="s">
        <v>871</v>
      </c>
      <c r="M932" s="161">
        <f t="shared" si="175"/>
        <v>194650</v>
      </c>
      <c r="N932" s="161">
        <f t="shared" si="172"/>
        <v>194650</v>
      </c>
      <c r="O932" s="161">
        <v>194650</v>
      </c>
      <c r="P932" s="72">
        <v>108720</v>
      </c>
      <c r="Q932" s="256">
        <f t="shared" si="173"/>
        <v>23918.400000000001</v>
      </c>
      <c r="R932" s="256">
        <f t="shared" si="174"/>
        <v>132638.39999999999</v>
      </c>
      <c r="S932" s="296"/>
      <c r="T932" s="62">
        <v>36</v>
      </c>
      <c r="U932" s="294"/>
    </row>
    <row r="933" spans="1:21" ht="15" customHeight="1" x14ac:dyDescent="0.35">
      <c r="A933" s="221" t="s">
        <v>3225</v>
      </c>
      <c r="B933" s="62">
        <v>894</v>
      </c>
      <c r="C933" s="157">
        <v>10137425</v>
      </c>
      <c r="D933" s="158" t="s">
        <v>946</v>
      </c>
      <c r="E933" s="48" t="s">
        <v>2197</v>
      </c>
      <c r="F933" s="53">
        <v>1</v>
      </c>
      <c r="G933" s="62" t="s">
        <v>0</v>
      </c>
      <c r="H933" s="196" t="s">
        <v>2195</v>
      </c>
      <c r="I933" s="51" t="s">
        <v>999</v>
      </c>
      <c r="J933" s="51" t="s">
        <v>1962</v>
      </c>
      <c r="K933" s="51" t="s">
        <v>988</v>
      </c>
      <c r="L933" s="61" t="s">
        <v>871</v>
      </c>
      <c r="M933" s="161">
        <f t="shared" si="175"/>
        <v>233279</v>
      </c>
      <c r="N933" s="161">
        <f t="shared" si="172"/>
        <v>233279</v>
      </c>
      <c r="O933" s="161">
        <v>233279</v>
      </c>
      <c r="P933" s="72">
        <v>130300</v>
      </c>
      <c r="Q933" s="256">
        <f t="shared" si="173"/>
        <v>28666</v>
      </c>
      <c r="R933" s="256">
        <f t="shared" si="174"/>
        <v>158966</v>
      </c>
      <c r="S933" s="296"/>
      <c r="T933" s="62">
        <v>36</v>
      </c>
      <c r="U933" s="294"/>
    </row>
    <row r="934" spans="1:21" ht="33" customHeight="1" x14ac:dyDescent="0.35">
      <c r="A934" s="221" t="s">
        <v>3226</v>
      </c>
      <c r="B934" s="192">
        <v>895</v>
      </c>
      <c r="C934" s="157">
        <v>10137426</v>
      </c>
      <c r="D934" s="158" t="s">
        <v>947</v>
      </c>
      <c r="E934" s="48" t="s">
        <v>2197</v>
      </c>
      <c r="F934" s="53">
        <v>1</v>
      </c>
      <c r="G934" s="62" t="s">
        <v>0</v>
      </c>
      <c r="H934" s="196" t="s">
        <v>2195</v>
      </c>
      <c r="I934" s="51" t="s">
        <v>999</v>
      </c>
      <c r="J934" s="51" t="s">
        <v>1962</v>
      </c>
      <c r="K934" s="51" t="s">
        <v>988</v>
      </c>
      <c r="L934" s="61" t="s">
        <v>871</v>
      </c>
      <c r="M934" s="161">
        <f t="shared" si="175"/>
        <v>112340</v>
      </c>
      <c r="N934" s="161">
        <f t="shared" si="172"/>
        <v>112340</v>
      </c>
      <c r="O934" s="161">
        <v>112340</v>
      </c>
      <c r="P934" s="72">
        <v>62750</v>
      </c>
      <c r="Q934" s="256">
        <f t="shared" si="173"/>
        <v>13805</v>
      </c>
      <c r="R934" s="256">
        <f t="shared" si="174"/>
        <v>76555</v>
      </c>
      <c r="S934" s="296"/>
      <c r="T934" s="62">
        <v>36</v>
      </c>
      <c r="U934" s="294"/>
    </row>
    <row r="935" spans="1:21" ht="32.25" customHeight="1" x14ac:dyDescent="0.35">
      <c r="A935" s="221" t="s">
        <v>3227</v>
      </c>
      <c r="B935" s="192">
        <v>896</v>
      </c>
      <c r="C935" s="157">
        <v>102002114</v>
      </c>
      <c r="D935" s="158" t="s">
        <v>948</v>
      </c>
      <c r="E935" s="48" t="s">
        <v>2197</v>
      </c>
      <c r="F935" s="159">
        <v>3</v>
      </c>
      <c r="G935" s="62" t="s">
        <v>0</v>
      </c>
      <c r="H935" s="196" t="s">
        <v>2195</v>
      </c>
      <c r="I935" s="51" t="s">
        <v>999</v>
      </c>
      <c r="J935" s="51" t="s">
        <v>1962</v>
      </c>
      <c r="K935" s="51" t="s">
        <v>988</v>
      </c>
      <c r="L935" s="61" t="s">
        <v>871</v>
      </c>
      <c r="M935" s="161">
        <f t="shared" si="175"/>
        <v>131930.5</v>
      </c>
      <c r="N935" s="161">
        <f t="shared" si="172"/>
        <v>43976.83</v>
      </c>
      <c r="O935" s="161">
        <v>131930.5</v>
      </c>
      <c r="P935" s="72">
        <v>73690</v>
      </c>
      <c r="Q935" s="256">
        <f t="shared" si="173"/>
        <v>16211.8</v>
      </c>
      <c r="R935" s="256">
        <f t="shared" si="174"/>
        <v>89901.8</v>
      </c>
      <c r="S935" s="296"/>
      <c r="T935" s="62">
        <v>36</v>
      </c>
      <c r="U935" s="294"/>
    </row>
    <row r="936" spans="1:21" ht="37.5" customHeight="1" x14ac:dyDescent="0.35">
      <c r="A936" s="221" t="s">
        <v>3228</v>
      </c>
      <c r="B936" s="62">
        <v>897</v>
      </c>
      <c r="C936" s="157">
        <v>102001497</v>
      </c>
      <c r="D936" s="158" t="s">
        <v>959</v>
      </c>
      <c r="E936" s="48" t="s">
        <v>2197</v>
      </c>
      <c r="F936" s="53">
        <v>1</v>
      </c>
      <c r="G936" s="62" t="s">
        <v>0</v>
      </c>
      <c r="H936" s="196" t="s">
        <v>2195</v>
      </c>
      <c r="I936" s="51" t="s">
        <v>999</v>
      </c>
      <c r="J936" s="197" t="s">
        <v>986</v>
      </c>
      <c r="K936" s="51" t="s">
        <v>988</v>
      </c>
      <c r="L936" s="61" t="s">
        <v>871</v>
      </c>
      <c r="M936" s="161">
        <f t="shared" si="175"/>
        <v>307630</v>
      </c>
      <c r="N936" s="161">
        <f t="shared" si="172"/>
        <v>307630</v>
      </c>
      <c r="O936" s="161">
        <v>307630</v>
      </c>
      <c r="P936" s="72">
        <v>171830</v>
      </c>
      <c r="Q936" s="256">
        <f t="shared" si="173"/>
        <v>37802.6</v>
      </c>
      <c r="R936" s="256">
        <f t="shared" si="174"/>
        <v>209632.6</v>
      </c>
      <c r="S936" s="296"/>
      <c r="T936" s="62">
        <v>36</v>
      </c>
      <c r="U936" s="294"/>
    </row>
    <row r="937" spans="1:21" ht="15" customHeight="1" x14ac:dyDescent="0.35">
      <c r="A937" s="221" t="s">
        <v>3229</v>
      </c>
      <c r="B937" s="192">
        <v>898</v>
      </c>
      <c r="C937" s="157">
        <v>102001027</v>
      </c>
      <c r="D937" s="158" t="s">
        <v>960</v>
      </c>
      <c r="E937" s="48" t="s">
        <v>2197</v>
      </c>
      <c r="F937" s="53">
        <v>1</v>
      </c>
      <c r="G937" s="62" t="s">
        <v>0</v>
      </c>
      <c r="H937" s="196" t="s">
        <v>2195</v>
      </c>
      <c r="I937" s="51" t="s">
        <v>999</v>
      </c>
      <c r="J937" s="51" t="s">
        <v>1962</v>
      </c>
      <c r="K937" s="51" t="s">
        <v>988</v>
      </c>
      <c r="L937" s="61" t="s">
        <v>871</v>
      </c>
      <c r="M937" s="161">
        <f t="shared" si="175"/>
        <v>138800</v>
      </c>
      <c r="N937" s="161">
        <f t="shared" si="172"/>
        <v>138800</v>
      </c>
      <c r="O937" s="161">
        <v>138800</v>
      </c>
      <c r="P937" s="72">
        <v>77530</v>
      </c>
      <c r="Q937" s="256">
        <f t="shared" si="173"/>
        <v>17056.599999999999</v>
      </c>
      <c r="R937" s="256">
        <f t="shared" si="174"/>
        <v>94586.6</v>
      </c>
      <c r="S937" s="296"/>
      <c r="T937" s="62">
        <v>36</v>
      </c>
      <c r="U937" s="294"/>
    </row>
    <row r="938" spans="1:21" ht="15" customHeight="1" x14ac:dyDescent="0.35">
      <c r="A938" s="221" t="s">
        <v>3230</v>
      </c>
      <c r="B938" s="192">
        <v>899</v>
      </c>
      <c r="C938" s="157">
        <v>102001124</v>
      </c>
      <c r="D938" s="158" t="s">
        <v>964</v>
      </c>
      <c r="E938" s="48" t="s">
        <v>2197</v>
      </c>
      <c r="F938" s="159">
        <v>6</v>
      </c>
      <c r="G938" s="62" t="s">
        <v>0</v>
      </c>
      <c r="H938" s="196" t="s">
        <v>2195</v>
      </c>
      <c r="I938" s="51" t="s">
        <v>999</v>
      </c>
      <c r="J938" s="197" t="s">
        <v>986</v>
      </c>
      <c r="K938" s="51" t="s">
        <v>988</v>
      </c>
      <c r="L938" s="61" t="s">
        <v>871</v>
      </c>
      <c r="M938" s="161">
        <f t="shared" si="175"/>
        <v>923360</v>
      </c>
      <c r="N938" s="161">
        <f t="shared" ref="N938:N949" si="176">O938/F938</f>
        <v>153893.32999999999</v>
      </c>
      <c r="O938" s="161">
        <v>923360</v>
      </c>
      <c r="P938" s="72">
        <v>515750</v>
      </c>
      <c r="Q938" s="256">
        <f t="shared" si="173"/>
        <v>113465</v>
      </c>
      <c r="R938" s="256">
        <f t="shared" si="174"/>
        <v>629215</v>
      </c>
      <c r="S938" s="296"/>
      <c r="T938" s="62">
        <v>36</v>
      </c>
      <c r="U938" s="294"/>
    </row>
    <row r="939" spans="1:21" ht="33.75" customHeight="1" x14ac:dyDescent="0.35">
      <c r="A939" s="221" t="s">
        <v>3231</v>
      </c>
      <c r="B939" s="62">
        <v>900</v>
      </c>
      <c r="C939" s="157">
        <v>10106526</v>
      </c>
      <c r="D939" s="158" t="s">
        <v>966</v>
      </c>
      <c r="E939" s="48" t="s">
        <v>2201</v>
      </c>
      <c r="F939" s="159">
        <v>5</v>
      </c>
      <c r="G939" s="62" t="s">
        <v>0</v>
      </c>
      <c r="H939" s="160">
        <v>42277</v>
      </c>
      <c r="I939" s="51" t="s">
        <v>999</v>
      </c>
      <c r="J939" s="51" t="s">
        <v>1962</v>
      </c>
      <c r="K939" s="51" t="s">
        <v>988</v>
      </c>
      <c r="L939" s="61" t="s">
        <v>871</v>
      </c>
      <c r="M939" s="161">
        <f t="shared" si="175"/>
        <v>43435.7</v>
      </c>
      <c r="N939" s="161">
        <f t="shared" si="176"/>
        <v>8687.14</v>
      </c>
      <c r="O939" s="161">
        <v>43435.7</v>
      </c>
      <c r="P939" s="72">
        <v>20260</v>
      </c>
      <c r="Q939" s="256">
        <f t="shared" ref="Q939:Q970" si="177">R939-P939</f>
        <v>4457.2</v>
      </c>
      <c r="R939" s="256">
        <f t="shared" ref="R939:R970" si="178">P939*1.22</f>
        <v>24717.200000000001</v>
      </c>
      <c r="S939" s="296"/>
      <c r="T939" s="62">
        <v>36</v>
      </c>
      <c r="U939" s="294"/>
    </row>
    <row r="940" spans="1:21" ht="27" customHeight="1" x14ac:dyDescent="0.35">
      <c r="A940" s="221" t="s">
        <v>3232</v>
      </c>
      <c r="B940" s="192">
        <v>901</v>
      </c>
      <c r="C940" s="157">
        <v>10151723</v>
      </c>
      <c r="D940" s="158" t="s">
        <v>967</v>
      </c>
      <c r="E940" s="48" t="s">
        <v>2201</v>
      </c>
      <c r="F940" s="159">
        <v>3</v>
      </c>
      <c r="G940" s="62" t="s">
        <v>0</v>
      </c>
      <c r="H940" s="160">
        <v>42277</v>
      </c>
      <c r="I940" s="51" t="s">
        <v>999</v>
      </c>
      <c r="J940" s="51" t="s">
        <v>1962</v>
      </c>
      <c r="K940" s="51" t="s">
        <v>988</v>
      </c>
      <c r="L940" s="61" t="s">
        <v>871</v>
      </c>
      <c r="M940" s="161">
        <f t="shared" si="175"/>
        <v>21090.92</v>
      </c>
      <c r="N940" s="161">
        <f t="shared" si="176"/>
        <v>7030.31</v>
      </c>
      <c r="O940" s="161">
        <v>21090.92</v>
      </c>
      <c r="P940" s="72">
        <v>9840</v>
      </c>
      <c r="Q940" s="256">
        <f t="shared" si="177"/>
        <v>2164.8000000000002</v>
      </c>
      <c r="R940" s="256">
        <f t="shared" si="178"/>
        <v>12004.8</v>
      </c>
      <c r="S940" s="296"/>
      <c r="T940" s="62">
        <v>36</v>
      </c>
      <c r="U940" s="294"/>
    </row>
    <row r="941" spans="1:21" ht="15" customHeight="1" x14ac:dyDescent="0.35">
      <c r="A941" s="221" t="s">
        <v>3233</v>
      </c>
      <c r="B941" s="192">
        <v>902</v>
      </c>
      <c r="C941" s="157">
        <v>10149252</v>
      </c>
      <c r="D941" s="158" t="s">
        <v>968</v>
      </c>
      <c r="E941" s="48" t="s">
        <v>2201</v>
      </c>
      <c r="F941" s="159">
        <v>4</v>
      </c>
      <c r="G941" s="62" t="s">
        <v>0</v>
      </c>
      <c r="H941" s="160">
        <v>42277</v>
      </c>
      <c r="I941" s="51" t="s">
        <v>999</v>
      </c>
      <c r="J941" s="51" t="s">
        <v>1962</v>
      </c>
      <c r="K941" s="51" t="s">
        <v>988</v>
      </c>
      <c r="L941" s="61" t="s">
        <v>871</v>
      </c>
      <c r="M941" s="161">
        <f t="shared" si="175"/>
        <v>37614.379999999997</v>
      </c>
      <c r="N941" s="161">
        <f t="shared" si="176"/>
        <v>9403.6</v>
      </c>
      <c r="O941" s="161">
        <v>37614.379999999997</v>
      </c>
      <c r="P941" s="72">
        <v>17550</v>
      </c>
      <c r="Q941" s="256">
        <f t="shared" si="177"/>
        <v>3861</v>
      </c>
      <c r="R941" s="256">
        <f t="shared" si="178"/>
        <v>21411</v>
      </c>
      <c r="S941" s="296"/>
      <c r="T941" s="62">
        <v>36</v>
      </c>
      <c r="U941" s="294"/>
    </row>
    <row r="942" spans="1:21" ht="60" customHeight="1" x14ac:dyDescent="0.35">
      <c r="A942" s="221" t="s">
        <v>3234</v>
      </c>
      <c r="B942" s="62">
        <v>903</v>
      </c>
      <c r="C942" s="157">
        <v>10096041</v>
      </c>
      <c r="D942" s="158" t="s">
        <v>969</v>
      </c>
      <c r="E942" s="48" t="s">
        <v>2201</v>
      </c>
      <c r="F942" s="159">
        <v>2</v>
      </c>
      <c r="G942" s="62" t="s">
        <v>0</v>
      </c>
      <c r="H942" s="160">
        <v>42277</v>
      </c>
      <c r="I942" s="51" t="s">
        <v>999</v>
      </c>
      <c r="J942" s="51" t="s">
        <v>1962</v>
      </c>
      <c r="K942" s="51" t="s">
        <v>988</v>
      </c>
      <c r="L942" s="61" t="s">
        <v>871</v>
      </c>
      <c r="M942" s="161">
        <f t="shared" si="175"/>
        <v>8516.7800000000007</v>
      </c>
      <c r="N942" s="161">
        <f t="shared" si="176"/>
        <v>4258.3900000000003</v>
      </c>
      <c r="O942" s="161">
        <v>8516.7800000000007</v>
      </c>
      <c r="P942" s="72">
        <v>3970</v>
      </c>
      <c r="Q942" s="256">
        <f t="shared" si="177"/>
        <v>873.4</v>
      </c>
      <c r="R942" s="256">
        <f t="shared" si="178"/>
        <v>4843.3999999999996</v>
      </c>
      <c r="S942" s="296"/>
      <c r="T942" s="62">
        <v>36</v>
      </c>
      <c r="U942" s="294"/>
    </row>
    <row r="943" spans="1:21" ht="30.65" customHeight="1" x14ac:dyDescent="0.35">
      <c r="A943" s="221" t="s">
        <v>3235</v>
      </c>
      <c r="B943" s="192">
        <v>904</v>
      </c>
      <c r="C943" s="157">
        <v>10131131</v>
      </c>
      <c r="D943" s="158" t="s">
        <v>973</v>
      </c>
      <c r="E943" s="48" t="s">
        <v>2201</v>
      </c>
      <c r="F943" s="159">
        <v>2</v>
      </c>
      <c r="G943" s="62" t="s">
        <v>0</v>
      </c>
      <c r="H943" s="62">
        <v>2014</v>
      </c>
      <c r="I943" s="51" t="s">
        <v>999</v>
      </c>
      <c r="J943" s="51" t="s">
        <v>1962</v>
      </c>
      <c r="K943" s="51" t="s">
        <v>988</v>
      </c>
      <c r="L943" s="61" t="s">
        <v>871</v>
      </c>
      <c r="M943" s="161">
        <f t="shared" si="175"/>
        <v>38088.800000000003</v>
      </c>
      <c r="N943" s="161">
        <f t="shared" si="176"/>
        <v>19044.400000000001</v>
      </c>
      <c r="O943" s="161">
        <v>38088.800000000003</v>
      </c>
      <c r="P943" s="72">
        <v>19100</v>
      </c>
      <c r="Q943" s="256">
        <f t="shared" si="177"/>
        <v>4202</v>
      </c>
      <c r="R943" s="256">
        <f t="shared" si="178"/>
        <v>23302</v>
      </c>
      <c r="S943" s="296"/>
      <c r="T943" s="62">
        <v>36</v>
      </c>
      <c r="U943" s="294"/>
    </row>
    <row r="944" spans="1:21" ht="30" customHeight="1" x14ac:dyDescent="0.35">
      <c r="A944" s="221" t="s">
        <v>3236</v>
      </c>
      <c r="B944" s="192">
        <v>905</v>
      </c>
      <c r="C944" s="165">
        <v>10108627</v>
      </c>
      <c r="D944" s="166" t="s">
        <v>1008</v>
      </c>
      <c r="E944" s="48" t="s">
        <v>2237</v>
      </c>
      <c r="F944" s="167">
        <v>2</v>
      </c>
      <c r="G944" s="62" t="s">
        <v>0</v>
      </c>
      <c r="H944" s="168" t="s">
        <v>523</v>
      </c>
      <c r="I944" s="51" t="s">
        <v>989</v>
      </c>
      <c r="J944" s="51" t="s">
        <v>1962</v>
      </c>
      <c r="K944" s="170" t="s">
        <v>1008</v>
      </c>
      <c r="L944" s="52" t="s">
        <v>871</v>
      </c>
      <c r="M944" s="162">
        <f t="shared" si="175"/>
        <v>9700</v>
      </c>
      <c r="N944" s="162">
        <f t="shared" si="176"/>
        <v>4850</v>
      </c>
      <c r="O944" s="162">
        <v>9700</v>
      </c>
      <c r="P944" s="72">
        <v>5050</v>
      </c>
      <c r="Q944" s="256">
        <f t="shared" si="177"/>
        <v>1111</v>
      </c>
      <c r="R944" s="256">
        <f t="shared" si="178"/>
        <v>6161</v>
      </c>
      <c r="S944" s="296"/>
      <c r="T944" s="62">
        <v>36</v>
      </c>
      <c r="U944" s="294"/>
    </row>
    <row r="945" spans="1:21" ht="15" customHeight="1" x14ac:dyDescent="0.35">
      <c r="A945" s="221" t="s">
        <v>3237</v>
      </c>
      <c r="B945" s="62">
        <v>906</v>
      </c>
      <c r="C945" s="165">
        <v>10108564</v>
      </c>
      <c r="D945" s="166" t="s">
        <v>273</v>
      </c>
      <c r="E945" s="48" t="s">
        <v>2237</v>
      </c>
      <c r="F945" s="167">
        <v>6</v>
      </c>
      <c r="G945" s="62" t="s">
        <v>0</v>
      </c>
      <c r="H945" s="168" t="s">
        <v>518</v>
      </c>
      <c r="I945" s="51" t="s">
        <v>989</v>
      </c>
      <c r="J945" s="51" t="s">
        <v>1962</v>
      </c>
      <c r="K945" s="170" t="s">
        <v>273</v>
      </c>
      <c r="L945" s="52" t="s">
        <v>871</v>
      </c>
      <c r="M945" s="162">
        <f t="shared" si="175"/>
        <v>81000</v>
      </c>
      <c r="N945" s="162">
        <f t="shared" si="176"/>
        <v>13500</v>
      </c>
      <c r="O945" s="162">
        <v>81000</v>
      </c>
      <c r="P945" s="72">
        <v>35540</v>
      </c>
      <c r="Q945" s="256">
        <f t="shared" si="177"/>
        <v>7818.8</v>
      </c>
      <c r="R945" s="256">
        <f t="shared" si="178"/>
        <v>43358.8</v>
      </c>
      <c r="S945" s="296"/>
      <c r="T945" s="62">
        <v>36</v>
      </c>
      <c r="U945" s="294"/>
    </row>
    <row r="946" spans="1:21" ht="15" customHeight="1" x14ac:dyDescent="0.35">
      <c r="A946" s="221" t="s">
        <v>3238</v>
      </c>
      <c r="B946" s="192">
        <v>907</v>
      </c>
      <c r="C946" s="165">
        <v>10108557</v>
      </c>
      <c r="D946" s="166" t="s">
        <v>1009</v>
      </c>
      <c r="E946" s="48" t="s">
        <v>2237</v>
      </c>
      <c r="F946" s="167">
        <v>4</v>
      </c>
      <c r="G946" s="62" t="s">
        <v>0</v>
      </c>
      <c r="H946" s="168" t="s">
        <v>516</v>
      </c>
      <c r="I946" s="51" t="s">
        <v>989</v>
      </c>
      <c r="J946" s="51" t="s">
        <v>1962</v>
      </c>
      <c r="K946" s="170" t="s">
        <v>1009</v>
      </c>
      <c r="L946" s="52" t="s">
        <v>871</v>
      </c>
      <c r="M946" s="162">
        <f t="shared" si="175"/>
        <v>18400</v>
      </c>
      <c r="N946" s="162">
        <f t="shared" si="176"/>
        <v>4600</v>
      </c>
      <c r="O946" s="162">
        <v>18400</v>
      </c>
      <c r="P946" s="72">
        <v>9430</v>
      </c>
      <c r="Q946" s="256">
        <f t="shared" si="177"/>
        <v>2074.6</v>
      </c>
      <c r="R946" s="256">
        <f t="shared" si="178"/>
        <v>11504.6</v>
      </c>
      <c r="S946" s="296"/>
      <c r="T946" s="62">
        <v>36</v>
      </c>
      <c r="U946" s="294"/>
    </row>
    <row r="947" spans="1:21" ht="15" customHeight="1" x14ac:dyDescent="0.35">
      <c r="A947" s="221" t="s">
        <v>3239</v>
      </c>
      <c r="B947" s="192">
        <v>908</v>
      </c>
      <c r="C947" s="165">
        <v>10109049</v>
      </c>
      <c r="D947" s="166" t="s">
        <v>1010</v>
      </c>
      <c r="E947" s="48" t="s">
        <v>2237</v>
      </c>
      <c r="F947" s="167">
        <v>627</v>
      </c>
      <c r="G947" s="62" t="s">
        <v>0</v>
      </c>
      <c r="H947" s="168" t="s">
        <v>522</v>
      </c>
      <c r="I947" s="51" t="s">
        <v>989</v>
      </c>
      <c r="J947" s="51" t="s">
        <v>1962</v>
      </c>
      <c r="K947" s="170" t="s">
        <v>1010</v>
      </c>
      <c r="L947" s="52" t="s">
        <v>871</v>
      </c>
      <c r="M947" s="162">
        <f t="shared" si="175"/>
        <v>849252.55</v>
      </c>
      <c r="N947" s="162">
        <f t="shared" si="176"/>
        <v>1354.47</v>
      </c>
      <c r="O947" s="162">
        <v>849252.55</v>
      </c>
      <c r="P947" s="72">
        <v>434040</v>
      </c>
      <c r="Q947" s="256">
        <f t="shared" si="177"/>
        <v>95488.8</v>
      </c>
      <c r="R947" s="256">
        <f t="shared" si="178"/>
        <v>529528.80000000005</v>
      </c>
      <c r="S947" s="296"/>
      <c r="T947" s="62">
        <v>36</v>
      </c>
      <c r="U947" s="294"/>
    </row>
    <row r="948" spans="1:21" ht="15" customHeight="1" x14ac:dyDescent="0.35">
      <c r="A948" s="221" t="s">
        <v>3240</v>
      </c>
      <c r="B948" s="62">
        <v>909</v>
      </c>
      <c r="C948" s="165">
        <v>10118634</v>
      </c>
      <c r="D948" s="166" t="s">
        <v>1011</v>
      </c>
      <c r="E948" s="48" t="s">
        <v>2237</v>
      </c>
      <c r="F948" s="167">
        <v>53</v>
      </c>
      <c r="G948" s="62" t="s">
        <v>0</v>
      </c>
      <c r="H948" s="168" t="s">
        <v>523</v>
      </c>
      <c r="I948" s="51" t="s">
        <v>989</v>
      </c>
      <c r="J948" s="51" t="s">
        <v>1962</v>
      </c>
      <c r="K948" s="170" t="s">
        <v>1011</v>
      </c>
      <c r="L948" s="52" t="s">
        <v>871</v>
      </c>
      <c r="M948" s="162">
        <f t="shared" si="175"/>
        <v>1247443.31</v>
      </c>
      <c r="N948" s="162">
        <f t="shared" si="176"/>
        <v>23536.67</v>
      </c>
      <c r="O948" s="162">
        <v>1247443.31</v>
      </c>
      <c r="P948" s="72">
        <v>649680</v>
      </c>
      <c r="Q948" s="256">
        <f t="shared" si="177"/>
        <v>142929.60000000001</v>
      </c>
      <c r="R948" s="256">
        <f t="shared" si="178"/>
        <v>792609.6</v>
      </c>
      <c r="S948" s="296"/>
      <c r="T948" s="62">
        <v>36</v>
      </c>
      <c r="U948" s="294"/>
    </row>
    <row r="949" spans="1:21" ht="15" customHeight="1" x14ac:dyDescent="0.35">
      <c r="A949" s="221" t="s">
        <v>3241</v>
      </c>
      <c r="B949" s="192">
        <v>910</v>
      </c>
      <c r="C949" s="165">
        <v>10108498</v>
      </c>
      <c r="D949" s="166" t="s">
        <v>1012</v>
      </c>
      <c r="E949" s="48" t="s">
        <v>2237</v>
      </c>
      <c r="F949" s="167">
        <v>10</v>
      </c>
      <c r="G949" s="62" t="s">
        <v>0</v>
      </c>
      <c r="H949" s="168" t="s">
        <v>523</v>
      </c>
      <c r="I949" s="51" t="s">
        <v>989</v>
      </c>
      <c r="J949" s="169" t="s">
        <v>2285</v>
      </c>
      <c r="K949" s="170" t="s">
        <v>1012</v>
      </c>
      <c r="L949" s="52" t="s">
        <v>871</v>
      </c>
      <c r="M949" s="162">
        <f t="shared" si="175"/>
        <v>18200</v>
      </c>
      <c r="N949" s="162">
        <f t="shared" si="176"/>
        <v>1820</v>
      </c>
      <c r="O949" s="162">
        <v>18200</v>
      </c>
      <c r="P949" s="72">
        <v>9480</v>
      </c>
      <c r="Q949" s="256">
        <f t="shared" si="177"/>
        <v>2085.6</v>
      </c>
      <c r="R949" s="256">
        <f t="shared" si="178"/>
        <v>11565.6</v>
      </c>
      <c r="S949" s="296"/>
      <c r="T949" s="62">
        <v>36</v>
      </c>
      <c r="U949" s="294"/>
    </row>
    <row r="950" spans="1:21" ht="33" customHeight="1" x14ac:dyDescent="0.35">
      <c r="A950" s="221" t="s">
        <v>3287</v>
      </c>
      <c r="B950" s="192">
        <v>911</v>
      </c>
      <c r="C950" s="165">
        <v>10104605</v>
      </c>
      <c r="D950" s="166" t="s">
        <v>1039</v>
      </c>
      <c r="E950" s="48" t="s">
        <v>2237</v>
      </c>
      <c r="F950" s="167">
        <v>11</v>
      </c>
      <c r="G950" s="62" t="s">
        <v>0</v>
      </c>
      <c r="H950" s="168" t="s">
        <v>518</v>
      </c>
      <c r="I950" s="51" t="s">
        <v>989</v>
      </c>
      <c r="J950" s="169" t="s">
        <v>982</v>
      </c>
      <c r="K950" s="170" t="s">
        <v>1239</v>
      </c>
      <c r="L950" s="52" t="s">
        <v>871</v>
      </c>
      <c r="M950" s="162">
        <f t="shared" ref="M950:M993" si="179">O950</f>
        <v>127144.51</v>
      </c>
      <c r="N950" s="162">
        <f t="shared" ref="N950:N954" si="180">O950/F950</f>
        <v>11558.59</v>
      </c>
      <c r="O950" s="162">
        <v>127144.51</v>
      </c>
      <c r="P950" s="72">
        <v>71020</v>
      </c>
      <c r="Q950" s="256">
        <f t="shared" si="177"/>
        <v>15624.4</v>
      </c>
      <c r="R950" s="256">
        <f t="shared" si="178"/>
        <v>86644.4</v>
      </c>
      <c r="S950" s="296"/>
      <c r="T950" s="62">
        <v>36</v>
      </c>
      <c r="U950" s="294"/>
    </row>
    <row r="951" spans="1:21" ht="39" customHeight="1" x14ac:dyDescent="0.35">
      <c r="A951" s="221" t="s">
        <v>3288</v>
      </c>
      <c r="B951" s="62">
        <v>912</v>
      </c>
      <c r="C951" s="165">
        <v>10107124</v>
      </c>
      <c r="D951" s="166" t="s">
        <v>876</v>
      </c>
      <c r="E951" s="48" t="s">
        <v>2237</v>
      </c>
      <c r="F951" s="167">
        <v>1</v>
      </c>
      <c r="G951" s="62" t="s">
        <v>0</v>
      </c>
      <c r="H951" s="168" t="s">
        <v>516</v>
      </c>
      <c r="I951" s="51" t="s">
        <v>989</v>
      </c>
      <c r="J951" s="169" t="s">
        <v>2285</v>
      </c>
      <c r="K951" s="170" t="s">
        <v>876</v>
      </c>
      <c r="L951" s="52" t="s">
        <v>871</v>
      </c>
      <c r="M951" s="162">
        <f t="shared" si="179"/>
        <v>18042.79</v>
      </c>
      <c r="N951" s="162">
        <f t="shared" si="180"/>
        <v>18042.79</v>
      </c>
      <c r="O951" s="162">
        <v>18042.79</v>
      </c>
      <c r="P951" s="72">
        <v>8390</v>
      </c>
      <c r="Q951" s="256">
        <f t="shared" si="177"/>
        <v>1845.8</v>
      </c>
      <c r="R951" s="256">
        <f t="shared" si="178"/>
        <v>10235.799999999999</v>
      </c>
      <c r="S951" s="296"/>
      <c r="T951" s="62">
        <v>36</v>
      </c>
      <c r="U951" s="294"/>
    </row>
    <row r="952" spans="1:21" ht="15" customHeight="1" x14ac:dyDescent="0.35">
      <c r="A952" s="221" t="s">
        <v>3289</v>
      </c>
      <c r="B952" s="192">
        <v>913</v>
      </c>
      <c r="C952" s="165">
        <v>10151050</v>
      </c>
      <c r="D952" s="166" t="s">
        <v>1040</v>
      </c>
      <c r="E952" s="48" t="s">
        <v>2237</v>
      </c>
      <c r="F952" s="167">
        <v>6</v>
      </c>
      <c r="G952" s="62" t="s">
        <v>0</v>
      </c>
      <c r="H952" s="168" t="s">
        <v>516</v>
      </c>
      <c r="I952" s="51" t="s">
        <v>989</v>
      </c>
      <c r="J952" s="169" t="s">
        <v>2285</v>
      </c>
      <c r="K952" s="170" t="s">
        <v>4273</v>
      </c>
      <c r="L952" s="52" t="s">
        <v>871</v>
      </c>
      <c r="M952" s="162">
        <f t="shared" si="179"/>
        <v>27027</v>
      </c>
      <c r="N952" s="162">
        <f t="shared" si="180"/>
        <v>4504.5</v>
      </c>
      <c r="O952" s="162">
        <v>27027</v>
      </c>
      <c r="P952" s="72">
        <v>13850</v>
      </c>
      <c r="Q952" s="256">
        <f t="shared" si="177"/>
        <v>3047</v>
      </c>
      <c r="R952" s="256">
        <f t="shared" si="178"/>
        <v>16897</v>
      </c>
      <c r="S952" s="296"/>
      <c r="T952" s="62">
        <v>36</v>
      </c>
      <c r="U952" s="294"/>
    </row>
    <row r="953" spans="1:21" ht="40" customHeight="1" x14ac:dyDescent="0.35">
      <c r="A953" s="221" t="s">
        <v>3290</v>
      </c>
      <c r="B953" s="192">
        <v>914</v>
      </c>
      <c r="C953" s="165">
        <v>10104697</v>
      </c>
      <c r="D953" s="166" t="s">
        <v>1072</v>
      </c>
      <c r="E953" s="48" t="s">
        <v>2237</v>
      </c>
      <c r="F953" s="167">
        <f>114-5-3-3</f>
        <v>103</v>
      </c>
      <c r="G953" s="62" t="s">
        <v>0</v>
      </c>
      <c r="H953" s="168" t="s">
        <v>516</v>
      </c>
      <c r="I953" s="51" t="s">
        <v>989</v>
      </c>
      <c r="J953" s="169" t="s">
        <v>982</v>
      </c>
      <c r="K953" s="170" t="s">
        <v>1072</v>
      </c>
      <c r="L953" s="52" t="s">
        <v>871</v>
      </c>
      <c r="M953" s="162">
        <f t="shared" si="179"/>
        <v>105973.22</v>
      </c>
      <c r="N953" s="162">
        <f t="shared" si="180"/>
        <v>1028.8699999999999</v>
      </c>
      <c r="O953" s="162">
        <f>117290.75/114*103</f>
        <v>105973.22</v>
      </c>
      <c r="P953" s="72">
        <v>54310</v>
      </c>
      <c r="Q953" s="256">
        <f t="shared" si="177"/>
        <v>11948.2</v>
      </c>
      <c r="R953" s="256">
        <f t="shared" si="178"/>
        <v>66258.2</v>
      </c>
      <c r="S953" s="296"/>
      <c r="T953" s="62">
        <v>36</v>
      </c>
      <c r="U953" s="294"/>
    </row>
    <row r="954" spans="1:21" s="143" customFormat="1" ht="32.15" customHeight="1" x14ac:dyDescent="0.35">
      <c r="A954" s="221" t="s">
        <v>3291</v>
      </c>
      <c r="B954" s="62">
        <v>915</v>
      </c>
      <c r="C954" s="165">
        <v>10104699</v>
      </c>
      <c r="D954" s="166" t="s">
        <v>1073</v>
      </c>
      <c r="E954" s="48" t="s">
        <v>2237</v>
      </c>
      <c r="F954" s="167">
        <f>58-5-11-3</f>
        <v>39</v>
      </c>
      <c r="G954" s="62" t="s">
        <v>0</v>
      </c>
      <c r="H954" s="168" t="s">
        <v>516</v>
      </c>
      <c r="I954" s="51" t="s">
        <v>989</v>
      </c>
      <c r="J954" s="51" t="s">
        <v>1962</v>
      </c>
      <c r="K954" s="170" t="s">
        <v>1073</v>
      </c>
      <c r="L954" s="52" t="s">
        <v>871</v>
      </c>
      <c r="M954" s="162">
        <f>O954</f>
        <v>44061.61</v>
      </c>
      <c r="N954" s="162">
        <f t="shared" si="180"/>
        <v>1129.78</v>
      </c>
      <c r="O954" s="162">
        <f>59878.6/53*39</f>
        <v>44061.61</v>
      </c>
      <c r="P954" s="72">
        <v>22580</v>
      </c>
      <c r="Q954" s="256">
        <f t="shared" si="177"/>
        <v>4967.6000000000004</v>
      </c>
      <c r="R954" s="256">
        <f t="shared" si="178"/>
        <v>27547.599999999999</v>
      </c>
      <c r="S954" s="296"/>
      <c r="T954" s="62">
        <v>36</v>
      </c>
      <c r="U954" s="294"/>
    </row>
    <row r="955" spans="1:21" ht="31.5" customHeight="1" x14ac:dyDescent="0.35">
      <c r="A955" s="221" t="s">
        <v>3292</v>
      </c>
      <c r="B955" s="192">
        <v>916</v>
      </c>
      <c r="C955" s="165">
        <v>10104708</v>
      </c>
      <c r="D955" s="166" t="s">
        <v>1074</v>
      </c>
      <c r="E955" s="48" t="s">
        <v>2237</v>
      </c>
      <c r="F955" s="167">
        <f>76-1-5-5</f>
        <v>65</v>
      </c>
      <c r="G955" s="62" t="s">
        <v>0</v>
      </c>
      <c r="H955" s="168" t="s">
        <v>516</v>
      </c>
      <c r="I955" s="51" t="s">
        <v>989</v>
      </c>
      <c r="J955" s="51" t="s">
        <v>1962</v>
      </c>
      <c r="K955" s="170" t="s">
        <v>1074</v>
      </c>
      <c r="L955" s="52" t="s">
        <v>871</v>
      </c>
      <c r="M955" s="162">
        <v>75955.929999999993</v>
      </c>
      <c r="N955" s="162">
        <f>O955/F955</f>
        <v>1168.55</v>
      </c>
      <c r="O955" s="162">
        <v>75955.94</v>
      </c>
      <c r="P955" s="72">
        <v>38930</v>
      </c>
      <c r="Q955" s="256">
        <f t="shared" si="177"/>
        <v>8564.6</v>
      </c>
      <c r="R955" s="256">
        <f t="shared" si="178"/>
        <v>47494.6</v>
      </c>
      <c r="S955" s="296"/>
      <c r="T955" s="62">
        <v>36</v>
      </c>
      <c r="U955" s="294"/>
    </row>
    <row r="956" spans="1:21" ht="33" customHeight="1" x14ac:dyDescent="0.35">
      <c r="A956" s="221" t="s">
        <v>3293</v>
      </c>
      <c r="B956" s="192">
        <v>917</v>
      </c>
      <c r="C956" s="165">
        <v>10101170</v>
      </c>
      <c r="D956" s="166" t="s">
        <v>1075</v>
      </c>
      <c r="E956" s="48" t="s">
        <v>2237</v>
      </c>
      <c r="F956" s="167">
        <f>10-2</f>
        <v>8</v>
      </c>
      <c r="G956" s="62" t="s">
        <v>0</v>
      </c>
      <c r="H956" s="168" t="s">
        <v>523</v>
      </c>
      <c r="I956" s="51" t="s">
        <v>989</v>
      </c>
      <c r="J956" s="169" t="s">
        <v>2285</v>
      </c>
      <c r="K956" s="170" t="s">
        <v>1075</v>
      </c>
      <c r="L956" s="52" t="s">
        <v>871</v>
      </c>
      <c r="M956" s="162">
        <f t="shared" si="179"/>
        <v>14970.7</v>
      </c>
      <c r="N956" s="162">
        <f t="shared" ref="N956:N987" si="181">O956/F956</f>
        <v>1871.34</v>
      </c>
      <c r="O956" s="162">
        <f>18713.37/10*8</f>
        <v>14970.7</v>
      </c>
      <c r="P956" s="72">
        <v>7800</v>
      </c>
      <c r="Q956" s="256">
        <f t="shared" si="177"/>
        <v>1716</v>
      </c>
      <c r="R956" s="256">
        <f t="shared" si="178"/>
        <v>9516</v>
      </c>
      <c r="S956" s="296"/>
      <c r="T956" s="62">
        <v>36</v>
      </c>
      <c r="U956" s="294"/>
    </row>
    <row r="957" spans="1:21" ht="34.5" customHeight="1" x14ac:dyDescent="0.35">
      <c r="A957" s="221" t="s">
        <v>3294</v>
      </c>
      <c r="B957" s="62">
        <v>918</v>
      </c>
      <c r="C957" s="165">
        <v>10101057</v>
      </c>
      <c r="D957" s="166" t="s">
        <v>1076</v>
      </c>
      <c r="E957" s="48" t="s">
        <v>2237</v>
      </c>
      <c r="F957" s="167">
        <f>10-1</f>
        <v>9</v>
      </c>
      <c r="G957" s="62" t="s">
        <v>0</v>
      </c>
      <c r="H957" s="168" t="s">
        <v>518</v>
      </c>
      <c r="I957" s="51" t="s">
        <v>989</v>
      </c>
      <c r="J957" s="169" t="s">
        <v>2285</v>
      </c>
      <c r="K957" s="170" t="s">
        <v>1076</v>
      </c>
      <c r="L957" s="52" t="s">
        <v>871</v>
      </c>
      <c r="M957" s="162">
        <f t="shared" si="179"/>
        <v>16650</v>
      </c>
      <c r="N957" s="162">
        <f t="shared" si="181"/>
        <v>1850</v>
      </c>
      <c r="O957" s="162">
        <f>18500/10*9</f>
        <v>16650</v>
      </c>
      <c r="P957" s="72">
        <v>9300</v>
      </c>
      <c r="Q957" s="256">
        <f t="shared" si="177"/>
        <v>2046</v>
      </c>
      <c r="R957" s="256">
        <f t="shared" si="178"/>
        <v>11346</v>
      </c>
      <c r="S957" s="296"/>
      <c r="T957" s="62">
        <v>36</v>
      </c>
      <c r="U957" s="294"/>
    </row>
    <row r="958" spans="1:21" ht="15" customHeight="1" x14ac:dyDescent="0.35">
      <c r="A958" s="221" t="s">
        <v>3295</v>
      </c>
      <c r="B958" s="192">
        <v>919</v>
      </c>
      <c r="C958" s="165">
        <v>10108380</v>
      </c>
      <c r="D958" s="166" t="s">
        <v>1083</v>
      </c>
      <c r="E958" s="48" t="s">
        <v>2237</v>
      </c>
      <c r="F958" s="167">
        <v>2</v>
      </c>
      <c r="G958" s="62" t="s">
        <v>0</v>
      </c>
      <c r="H958" s="168" t="s">
        <v>522</v>
      </c>
      <c r="I958" s="51" t="s">
        <v>989</v>
      </c>
      <c r="J958" s="169" t="s">
        <v>2285</v>
      </c>
      <c r="K958" s="170" t="s">
        <v>1083</v>
      </c>
      <c r="L958" s="52" t="s">
        <v>871</v>
      </c>
      <c r="M958" s="162">
        <f t="shared" si="179"/>
        <v>12492.69</v>
      </c>
      <c r="N958" s="162">
        <f t="shared" si="181"/>
        <v>6246.35</v>
      </c>
      <c r="O958" s="162">
        <v>12492.69</v>
      </c>
      <c r="P958" s="72">
        <v>6380</v>
      </c>
      <c r="Q958" s="256">
        <f t="shared" si="177"/>
        <v>1403.6</v>
      </c>
      <c r="R958" s="256">
        <f t="shared" si="178"/>
        <v>7783.6</v>
      </c>
      <c r="S958" s="296"/>
      <c r="T958" s="62">
        <v>36</v>
      </c>
      <c r="U958" s="294"/>
    </row>
    <row r="959" spans="1:21" ht="15" customHeight="1" x14ac:dyDescent="0.35">
      <c r="A959" s="221" t="s">
        <v>3296</v>
      </c>
      <c r="B959" s="192">
        <v>920</v>
      </c>
      <c r="C959" s="165">
        <v>10101469</v>
      </c>
      <c r="D959" s="166" t="s">
        <v>1084</v>
      </c>
      <c r="E959" s="48" t="s">
        <v>2237</v>
      </c>
      <c r="F959" s="167">
        <f>55-1</f>
        <v>54</v>
      </c>
      <c r="G959" s="62" t="s">
        <v>0</v>
      </c>
      <c r="H959" s="168" t="s">
        <v>523</v>
      </c>
      <c r="I959" s="51" t="s">
        <v>989</v>
      </c>
      <c r="J959" s="169" t="s">
        <v>2285</v>
      </c>
      <c r="K959" s="170" t="s">
        <v>1084</v>
      </c>
      <c r="L959" s="52" t="s">
        <v>871</v>
      </c>
      <c r="M959" s="162">
        <f t="shared" si="179"/>
        <v>64161.279999999999</v>
      </c>
      <c r="N959" s="162">
        <f t="shared" si="181"/>
        <v>1188.17</v>
      </c>
      <c r="O959" s="162">
        <f>65349.45/55*54</f>
        <v>64161.279999999999</v>
      </c>
      <c r="P959" s="72">
        <v>33420</v>
      </c>
      <c r="Q959" s="256">
        <f t="shared" si="177"/>
        <v>7352.4</v>
      </c>
      <c r="R959" s="256">
        <f t="shared" si="178"/>
        <v>40772.400000000001</v>
      </c>
      <c r="S959" s="296"/>
      <c r="T959" s="62">
        <v>36</v>
      </c>
      <c r="U959" s="294"/>
    </row>
    <row r="960" spans="1:21" ht="15" customHeight="1" x14ac:dyDescent="0.35">
      <c r="A960" s="221" t="s">
        <v>3297</v>
      </c>
      <c r="B960" s="62">
        <v>921</v>
      </c>
      <c r="C960" s="165">
        <v>10122620</v>
      </c>
      <c r="D960" s="166" t="s">
        <v>1085</v>
      </c>
      <c r="E960" s="48" t="s">
        <v>2237</v>
      </c>
      <c r="F960" s="167">
        <v>17</v>
      </c>
      <c r="G960" s="62" t="s">
        <v>0</v>
      </c>
      <c r="H960" s="168" t="s">
        <v>522</v>
      </c>
      <c r="I960" s="51" t="s">
        <v>989</v>
      </c>
      <c r="J960" s="169" t="s">
        <v>2285</v>
      </c>
      <c r="K960" s="170" t="s">
        <v>1085</v>
      </c>
      <c r="L960" s="52" t="s">
        <v>871</v>
      </c>
      <c r="M960" s="162">
        <f t="shared" si="179"/>
        <v>33010.959999999999</v>
      </c>
      <c r="N960" s="162">
        <f t="shared" si="181"/>
        <v>1941.82</v>
      </c>
      <c r="O960" s="162">
        <v>33010.959999999999</v>
      </c>
      <c r="P960" s="72">
        <v>16870</v>
      </c>
      <c r="Q960" s="256">
        <f t="shared" si="177"/>
        <v>3711.4</v>
      </c>
      <c r="R960" s="256">
        <f t="shared" si="178"/>
        <v>20581.400000000001</v>
      </c>
      <c r="S960" s="296"/>
      <c r="T960" s="62">
        <v>36</v>
      </c>
      <c r="U960" s="294"/>
    </row>
    <row r="961" spans="1:21" ht="15" customHeight="1" x14ac:dyDescent="0.35">
      <c r="A961" s="221" t="s">
        <v>3298</v>
      </c>
      <c r="B961" s="192">
        <v>922</v>
      </c>
      <c r="C961" s="165">
        <v>10108176</v>
      </c>
      <c r="D961" s="166" t="s">
        <v>1086</v>
      </c>
      <c r="E961" s="48" t="s">
        <v>2237</v>
      </c>
      <c r="F961" s="167">
        <v>20</v>
      </c>
      <c r="G961" s="62" t="s">
        <v>0</v>
      </c>
      <c r="H961" s="168" t="s">
        <v>522</v>
      </c>
      <c r="I961" s="51" t="s">
        <v>989</v>
      </c>
      <c r="J961" s="169" t="s">
        <v>2285</v>
      </c>
      <c r="K961" s="170" t="s">
        <v>1086</v>
      </c>
      <c r="L961" s="52" t="s">
        <v>871</v>
      </c>
      <c r="M961" s="162">
        <f t="shared" si="179"/>
        <v>40528.800000000003</v>
      </c>
      <c r="N961" s="162">
        <f t="shared" si="181"/>
        <v>2026.44</v>
      </c>
      <c r="O961" s="162">
        <v>40528.800000000003</v>
      </c>
      <c r="P961" s="72">
        <v>20710</v>
      </c>
      <c r="Q961" s="256">
        <f t="shared" si="177"/>
        <v>4556.2</v>
      </c>
      <c r="R961" s="256">
        <f t="shared" si="178"/>
        <v>25266.2</v>
      </c>
      <c r="S961" s="296"/>
      <c r="T961" s="62">
        <v>36</v>
      </c>
      <c r="U961" s="294"/>
    </row>
    <row r="962" spans="1:21" ht="15" customHeight="1" x14ac:dyDescent="0.35">
      <c r="A962" s="221" t="s">
        <v>3299</v>
      </c>
      <c r="B962" s="192">
        <v>923</v>
      </c>
      <c r="C962" s="165">
        <v>10124454</v>
      </c>
      <c r="D962" s="166" t="s">
        <v>507</v>
      </c>
      <c r="E962" s="48" t="s">
        <v>2237</v>
      </c>
      <c r="F962" s="167">
        <v>30</v>
      </c>
      <c r="G962" s="62" t="s">
        <v>0</v>
      </c>
      <c r="H962" s="168" t="s">
        <v>522</v>
      </c>
      <c r="I962" s="51" t="s">
        <v>989</v>
      </c>
      <c r="J962" s="169" t="s">
        <v>2285</v>
      </c>
      <c r="K962" s="170" t="s">
        <v>507</v>
      </c>
      <c r="L962" s="52" t="s">
        <v>871</v>
      </c>
      <c r="M962" s="162">
        <f t="shared" si="179"/>
        <v>185505.84</v>
      </c>
      <c r="N962" s="162">
        <f t="shared" si="181"/>
        <v>6183.53</v>
      </c>
      <c r="O962" s="162">
        <v>185505.84</v>
      </c>
      <c r="P962" s="72">
        <v>94810</v>
      </c>
      <c r="Q962" s="256">
        <f t="shared" si="177"/>
        <v>20858.2</v>
      </c>
      <c r="R962" s="256">
        <f t="shared" si="178"/>
        <v>115668.2</v>
      </c>
      <c r="S962" s="296"/>
      <c r="T962" s="62">
        <v>36</v>
      </c>
      <c r="U962" s="294"/>
    </row>
    <row r="963" spans="1:21" ht="15" customHeight="1" x14ac:dyDescent="0.35">
      <c r="A963" s="221" t="s">
        <v>3300</v>
      </c>
      <c r="B963" s="62">
        <v>924</v>
      </c>
      <c r="C963" s="165">
        <v>10124455</v>
      </c>
      <c r="D963" s="166" t="s">
        <v>499</v>
      </c>
      <c r="E963" s="48" t="s">
        <v>2237</v>
      </c>
      <c r="F963" s="167">
        <v>18</v>
      </c>
      <c r="G963" s="62" t="s">
        <v>0</v>
      </c>
      <c r="H963" s="168" t="s">
        <v>522</v>
      </c>
      <c r="I963" s="51" t="s">
        <v>989</v>
      </c>
      <c r="J963" s="169" t="s">
        <v>2285</v>
      </c>
      <c r="K963" s="170" t="s">
        <v>499</v>
      </c>
      <c r="L963" s="52" t="s">
        <v>871</v>
      </c>
      <c r="M963" s="162">
        <f t="shared" si="179"/>
        <v>116680.28</v>
      </c>
      <c r="N963" s="162">
        <f t="shared" si="181"/>
        <v>6482.24</v>
      </c>
      <c r="O963" s="162">
        <v>116680.28</v>
      </c>
      <c r="P963" s="72">
        <v>59630</v>
      </c>
      <c r="Q963" s="256">
        <f t="shared" si="177"/>
        <v>13118.6</v>
      </c>
      <c r="R963" s="256">
        <f t="shared" si="178"/>
        <v>72748.600000000006</v>
      </c>
      <c r="S963" s="296"/>
      <c r="T963" s="62">
        <v>36</v>
      </c>
      <c r="U963" s="294"/>
    </row>
    <row r="964" spans="1:21" ht="15" customHeight="1" x14ac:dyDescent="0.35">
      <c r="A964" s="221" t="s">
        <v>3301</v>
      </c>
      <c r="B964" s="192">
        <v>925</v>
      </c>
      <c r="C964" s="165">
        <v>10015703</v>
      </c>
      <c r="D964" s="166" t="s">
        <v>1101</v>
      </c>
      <c r="E964" s="48" t="s">
        <v>2237</v>
      </c>
      <c r="F964" s="167">
        <v>3</v>
      </c>
      <c r="G964" s="62" t="s">
        <v>0</v>
      </c>
      <c r="H964" s="168" t="s">
        <v>523</v>
      </c>
      <c r="I964" s="51" t="s">
        <v>989</v>
      </c>
      <c r="J964" s="169" t="s">
        <v>2285</v>
      </c>
      <c r="K964" s="170" t="s">
        <v>1101</v>
      </c>
      <c r="L964" s="52" t="s">
        <v>871</v>
      </c>
      <c r="M964" s="162">
        <f t="shared" si="179"/>
        <v>7000.01</v>
      </c>
      <c r="N964" s="162">
        <f t="shared" si="181"/>
        <v>2333.34</v>
      </c>
      <c r="O964" s="162">
        <v>7000.01</v>
      </c>
      <c r="P964" s="72">
        <v>3650</v>
      </c>
      <c r="Q964" s="256">
        <f t="shared" si="177"/>
        <v>803</v>
      </c>
      <c r="R964" s="256">
        <f t="shared" si="178"/>
        <v>4453</v>
      </c>
      <c r="S964" s="296"/>
      <c r="T964" s="62">
        <v>36</v>
      </c>
      <c r="U964" s="294"/>
    </row>
    <row r="965" spans="1:21" ht="24.75" customHeight="1" x14ac:dyDescent="0.35">
      <c r="A965" s="221" t="s">
        <v>3302</v>
      </c>
      <c r="B965" s="192">
        <v>926</v>
      </c>
      <c r="C965" s="165">
        <v>10104569</v>
      </c>
      <c r="D965" s="166" t="s">
        <v>1110</v>
      </c>
      <c r="E965" s="48" t="s">
        <v>2237</v>
      </c>
      <c r="F965" s="167">
        <v>17</v>
      </c>
      <c r="G965" s="62" t="s">
        <v>0</v>
      </c>
      <c r="H965" s="168" t="s">
        <v>523</v>
      </c>
      <c r="I965" s="51" t="s">
        <v>989</v>
      </c>
      <c r="J965" s="51" t="s">
        <v>1962</v>
      </c>
      <c r="K965" s="170" t="s">
        <v>1110</v>
      </c>
      <c r="L965" s="52" t="s">
        <v>871</v>
      </c>
      <c r="M965" s="162">
        <f t="shared" si="179"/>
        <v>30542.39</v>
      </c>
      <c r="N965" s="162">
        <f t="shared" si="181"/>
        <v>1796.61</v>
      </c>
      <c r="O965" s="162">
        <v>30542.39</v>
      </c>
      <c r="P965" s="72">
        <v>15910</v>
      </c>
      <c r="Q965" s="256">
        <f t="shared" si="177"/>
        <v>3500.2</v>
      </c>
      <c r="R965" s="256">
        <f t="shared" si="178"/>
        <v>19410.2</v>
      </c>
      <c r="S965" s="296"/>
      <c r="T965" s="62">
        <v>36</v>
      </c>
      <c r="U965" s="294"/>
    </row>
    <row r="966" spans="1:21" ht="39" customHeight="1" x14ac:dyDescent="0.35">
      <c r="A966" s="221" t="s">
        <v>3303</v>
      </c>
      <c r="B966" s="62">
        <v>927</v>
      </c>
      <c r="C966" s="165">
        <v>10105138</v>
      </c>
      <c r="D966" s="166" t="s">
        <v>1111</v>
      </c>
      <c r="E966" s="48" t="s">
        <v>2237</v>
      </c>
      <c r="F966" s="167">
        <v>41</v>
      </c>
      <c r="G966" s="62" t="s">
        <v>0</v>
      </c>
      <c r="H966" s="168" t="s">
        <v>523</v>
      </c>
      <c r="I966" s="51" t="s">
        <v>989</v>
      </c>
      <c r="J966" s="51" t="s">
        <v>1962</v>
      </c>
      <c r="K966" s="170" t="s">
        <v>1111</v>
      </c>
      <c r="L966" s="52" t="s">
        <v>871</v>
      </c>
      <c r="M966" s="162">
        <f t="shared" si="179"/>
        <v>632913.25</v>
      </c>
      <c r="N966" s="162">
        <f t="shared" si="181"/>
        <v>15436.91</v>
      </c>
      <c r="O966" s="162">
        <v>632913.25</v>
      </c>
      <c r="P966" s="72">
        <v>329630</v>
      </c>
      <c r="Q966" s="256">
        <f t="shared" si="177"/>
        <v>72518.600000000006</v>
      </c>
      <c r="R966" s="256">
        <f t="shared" si="178"/>
        <v>402148.6</v>
      </c>
      <c r="S966" s="296"/>
      <c r="T966" s="62">
        <v>36</v>
      </c>
      <c r="U966" s="294"/>
    </row>
    <row r="967" spans="1:21" ht="45" customHeight="1" x14ac:dyDescent="0.35">
      <c r="A967" s="221" t="s">
        <v>3304</v>
      </c>
      <c r="B967" s="192">
        <v>928</v>
      </c>
      <c r="C967" s="165">
        <v>10106484</v>
      </c>
      <c r="D967" s="166" t="s">
        <v>1112</v>
      </c>
      <c r="E967" s="48" t="s">
        <v>2237</v>
      </c>
      <c r="F967" s="167">
        <v>2</v>
      </c>
      <c r="G967" s="62" t="s">
        <v>0</v>
      </c>
      <c r="H967" s="168" t="s">
        <v>523</v>
      </c>
      <c r="I967" s="51" t="s">
        <v>989</v>
      </c>
      <c r="J967" s="169" t="s">
        <v>2285</v>
      </c>
      <c r="K967" s="170" t="s">
        <v>1112</v>
      </c>
      <c r="L967" s="52" t="s">
        <v>871</v>
      </c>
      <c r="M967" s="162">
        <f t="shared" si="179"/>
        <v>23741.88</v>
      </c>
      <c r="N967" s="162">
        <f t="shared" si="181"/>
        <v>11870.94</v>
      </c>
      <c r="O967" s="162">
        <v>23741.88</v>
      </c>
      <c r="P967" s="72">
        <v>12360</v>
      </c>
      <c r="Q967" s="256">
        <f t="shared" si="177"/>
        <v>2719.2</v>
      </c>
      <c r="R967" s="256">
        <f t="shared" si="178"/>
        <v>15079.2</v>
      </c>
      <c r="S967" s="296"/>
      <c r="T967" s="62">
        <v>36</v>
      </c>
      <c r="U967" s="294"/>
    </row>
    <row r="968" spans="1:21" ht="25.5" customHeight="1" x14ac:dyDescent="0.35">
      <c r="A968" s="221" t="s">
        <v>3305</v>
      </c>
      <c r="B968" s="192">
        <v>929</v>
      </c>
      <c r="C968" s="165">
        <v>10102082</v>
      </c>
      <c r="D968" s="166" t="s">
        <v>122</v>
      </c>
      <c r="E968" s="48" t="s">
        <v>2237</v>
      </c>
      <c r="F968" s="167">
        <v>7</v>
      </c>
      <c r="G968" s="62" t="s">
        <v>0</v>
      </c>
      <c r="H968" s="168" t="s">
        <v>523</v>
      </c>
      <c r="I968" s="51" t="s">
        <v>989</v>
      </c>
      <c r="J968" s="169" t="s">
        <v>2285</v>
      </c>
      <c r="K968" s="170" t="s">
        <v>1264</v>
      </c>
      <c r="L968" s="52" t="s">
        <v>871</v>
      </c>
      <c r="M968" s="162">
        <f t="shared" si="179"/>
        <v>31682</v>
      </c>
      <c r="N968" s="162">
        <f t="shared" si="181"/>
        <v>4526</v>
      </c>
      <c r="O968" s="162">
        <v>31682</v>
      </c>
      <c r="P968" s="72">
        <v>16500</v>
      </c>
      <c r="Q968" s="256">
        <f t="shared" si="177"/>
        <v>3630</v>
      </c>
      <c r="R968" s="256">
        <f t="shared" si="178"/>
        <v>20130</v>
      </c>
      <c r="S968" s="296"/>
      <c r="T968" s="62">
        <v>36</v>
      </c>
      <c r="U968" s="294"/>
    </row>
    <row r="969" spans="1:21" ht="15" customHeight="1" x14ac:dyDescent="0.35">
      <c r="A969" s="221" t="s">
        <v>3306</v>
      </c>
      <c r="B969" s="62">
        <v>930</v>
      </c>
      <c r="C969" s="165">
        <v>10118041</v>
      </c>
      <c r="D969" s="166" t="s">
        <v>1114</v>
      </c>
      <c r="E969" s="48" t="s">
        <v>2237</v>
      </c>
      <c r="F969" s="167">
        <f>8-6</f>
        <v>2</v>
      </c>
      <c r="G969" s="62" t="s">
        <v>0</v>
      </c>
      <c r="H969" s="168" t="s">
        <v>523</v>
      </c>
      <c r="I969" s="51" t="s">
        <v>989</v>
      </c>
      <c r="J969" s="169" t="s">
        <v>2285</v>
      </c>
      <c r="K969" s="170" t="s">
        <v>1265</v>
      </c>
      <c r="L969" s="52" t="s">
        <v>871</v>
      </c>
      <c r="M969" s="162">
        <f t="shared" si="179"/>
        <v>37721.599999999999</v>
      </c>
      <c r="N969" s="162">
        <f t="shared" si="181"/>
        <v>18860.8</v>
      </c>
      <c r="O969" s="162">
        <f>150886.4/8*2</f>
        <v>37721.599999999999</v>
      </c>
      <c r="P969" s="72">
        <v>19650</v>
      </c>
      <c r="Q969" s="256">
        <f t="shared" si="177"/>
        <v>4323</v>
      </c>
      <c r="R969" s="256">
        <f t="shared" si="178"/>
        <v>23973</v>
      </c>
      <c r="S969" s="296"/>
      <c r="T969" s="62">
        <v>36</v>
      </c>
      <c r="U969" s="294"/>
    </row>
    <row r="970" spans="1:21" ht="15" customHeight="1" x14ac:dyDescent="0.35">
      <c r="A970" s="221" t="s">
        <v>3307</v>
      </c>
      <c r="B970" s="192">
        <v>931</v>
      </c>
      <c r="C970" s="165">
        <v>10118052</v>
      </c>
      <c r="D970" s="166" t="s">
        <v>1115</v>
      </c>
      <c r="E970" s="48" t="s">
        <v>2237</v>
      </c>
      <c r="F970" s="167">
        <v>10</v>
      </c>
      <c r="G970" s="62" t="s">
        <v>0</v>
      </c>
      <c r="H970" s="168" t="s">
        <v>522</v>
      </c>
      <c r="I970" s="51" t="s">
        <v>989</v>
      </c>
      <c r="J970" s="169" t="s">
        <v>2285</v>
      </c>
      <c r="K970" s="170" t="s">
        <v>1266</v>
      </c>
      <c r="L970" s="52" t="s">
        <v>871</v>
      </c>
      <c r="M970" s="162">
        <f t="shared" si="179"/>
        <v>112020</v>
      </c>
      <c r="N970" s="162">
        <f t="shared" si="181"/>
        <v>11202</v>
      </c>
      <c r="O970" s="162">
        <v>112020</v>
      </c>
      <c r="P970" s="72">
        <v>57250</v>
      </c>
      <c r="Q970" s="256">
        <f t="shared" si="177"/>
        <v>12595</v>
      </c>
      <c r="R970" s="256">
        <f t="shared" si="178"/>
        <v>69845</v>
      </c>
      <c r="S970" s="296"/>
      <c r="T970" s="62">
        <v>36</v>
      </c>
      <c r="U970" s="294"/>
    </row>
    <row r="971" spans="1:21" ht="15" customHeight="1" x14ac:dyDescent="0.35">
      <c r="A971" s="221" t="s">
        <v>3308</v>
      </c>
      <c r="B971" s="192">
        <v>932</v>
      </c>
      <c r="C971" s="165">
        <v>10118009</v>
      </c>
      <c r="D971" s="166" t="s">
        <v>1116</v>
      </c>
      <c r="E971" s="48" t="s">
        <v>2237</v>
      </c>
      <c r="F971" s="167">
        <v>6</v>
      </c>
      <c r="G971" s="62" t="s">
        <v>0</v>
      </c>
      <c r="H971" s="168" t="s">
        <v>523</v>
      </c>
      <c r="I971" s="51" t="s">
        <v>989</v>
      </c>
      <c r="J971" s="169" t="s">
        <v>2285</v>
      </c>
      <c r="K971" s="170" t="s">
        <v>1267</v>
      </c>
      <c r="L971" s="52" t="s">
        <v>871</v>
      </c>
      <c r="M971" s="162">
        <f t="shared" si="179"/>
        <v>72038.399999999994</v>
      </c>
      <c r="N971" s="162">
        <f t="shared" si="181"/>
        <v>12006.4</v>
      </c>
      <c r="O971" s="162">
        <v>72038.399999999994</v>
      </c>
      <c r="P971" s="72">
        <v>37520</v>
      </c>
      <c r="Q971" s="256">
        <f t="shared" ref="Q971:Q1002" si="182">R971-P971</f>
        <v>8254.4</v>
      </c>
      <c r="R971" s="256">
        <f t="shared" ref="R971:R1006" si="183">P971*1.22</f>
        <v>45774.400000000001</v>
      </c>
      <c r="S971" s="296"/>
      <c r="T971" s="62">
        <v>36</v>
      </c>
      <c r="U971" s="294"/>
    </row>
    <row r="972" spans="1:21" ht="15" customHeight="1" x14ac:dyDescent="0.35">
      <c r="A972" s="221" t="s">
        <v>3309</v>
      </c>
      <c r="B972" s="62">
        <v>933</v>
      </c>
      <c r="C972" s="165">
        <v>10118040</v>
      </c>
      <c r="D972" s="166" t="s">
        <v>1117</v>
      </c>
      <c r="E972" s="48" t="s">
        <v>2237</v>
      </c>
      <c r="F972" s="167">
        <v>6</v>
      </c>
      <c r="G972" s="62" t="s">
        <v>0</v>
      </c>
      <c r="H972" s="168" t="s">
        <v>523</v>
      </c>
      <c r="I972" s="51" t="s">
        <v>989</v>
      </c>
      <c r="J972" s="169" t="s">
        <v>2285</v>
      </c>
      <c r="K972" s="170" t="s">
        <v>1268</v>
      </c>
      <c r="L972" s="52" t="s">
        <v>871</v>
      </c>
      <c r="M972" s="162">
        <f t="shared" si="179"/>
        <v>82118.399999999994</v>
      </c>
      <c r="N972" s="162">
        <f t="shared" si="181"/>
        <v>13686.4</v>
      </c>
      <c r="O972" s="162">
        <v>82118.399999999994</v>
      </c>
      <c r="P972" s="72">
        <v>42770</v>
      </c>
      <c r="Q972" s="256">
        <f t="shared" si="182"/>
        <v>9409.4</v>
      </c>
      <c r="R972" s="256">
        <f t="shared" si="183"/>
        <v>52179.4</v>
      </c>
      <c r="S972" s="296"/>
      <c r="T972" s="62">
        <v>36</v>
      </c>
      <c r="U972" s="294"/>
    </row>
    <row r="973" spans="1:21" ht="15" customHeight="1" x14ac:dyDescent="0.35">
      <c r="A973" s="221" t="s">
        <v>3310</v>
      </c>
      <c r="B973" s="192">
        <v>934</v>
      </c>
      <c r="C973" s="165">
        <v>10117838</v>
      </c>
      <c r="D973" s="166" t="s">
        <v>1118</v>
      </c>
      <c r="E973" s="48" t="s">
        <v>2237</v>
      </c>
      <c r="F973" s="167">
        <v>4</v>
      </c>
      <c r="G973" s="62" t="s">
        <v>0</v>
      </c>
      <c r="H973" s="168" t="s">
        <v>523</v>
      </c>
      <c r="I973" s="51" t="s">
        <v>989</v>
      </c>
      <c r="J973" s="169" t="s">
        <v>2285</v>
      </c>
      <c r="K973" s="170" t="s">
        <v>1269</v>
      </c>
      <c r="L973" s="52" t="s">
        <v>871</v>
      </c>
      <c r="M973" s="162">
        <f t="shared" si="179"/>
        <v>66124.800000000003</v>
      </c>
      <c r="N973" s="162">
        <f t="shared" si="181"/>
        <v>16531.2</v>
      </c>
      <c r="O973" s="162">
        <v>66124.800000000003</v>
      </c>
      <c r="P973" s="72">
        <v>34440</v>
      </c>
      <c r="Q973" s="256">
        <f t="shared" si="182"/>
        <v>7576.8</v>
      </c>
      <c r="R973" s="256">
        <f t="shared" si="183"/>
        <v>42016.800000000003</v>
      </c>
      <c r="S973" s="296"/>
      <c r="T973" s="62">
        <v>36</v>
      </c>
      <c r="U973" s="294"/>
    </row>
    <row r="974" spans="1:21" ht="15" customHeight="1" x14ac:dyDescent="0.35">
      <c r="A974" s="221" t="s">
        <v>3311</v>
      </c>
      <c r="B974" s="192">
        <v>935</v>
      </c>
      <c r="C974" s="165">
        <v>10117857</v>
      </c>
      <c r="D974" s="166" t="s">
        <v>1119</v>
      </c>
      <c r="E974" s="48" t="s">
        <v>2237</v>
      </c>
      <c r="F974" s="167">
        <v>5</v>
      </c>
      <c r="G974" s="62" t="s">
        <v>0</v>
      </c>
      <c r="H974" s="168" t="s">
        <v>523</v>
      </c>
      <c r="I974" s="51" t="s">
        <v>989</v>
      </c>
      <c r="J974" s="169" t="s">
        <v>2285</v>
      </c>
      <c r="K974" s="170" t="s">
        <v>1270</v>
      </c>
      <c r="L974" s="52" t="s">
        <v>871</v>
      </c>
      <c r="M974" s="162">
        <f t="shared" si="179"/>
        <v>100240</v>
      </c>
      <c r="N974" s="162">
        <f t="shared" si="181"/>
        <v>20048</v>
      </c>
      <c r="O974" s="162">
        <v>100240</v>
      </c>
      <c r="P974" s="72">
        <v>52210</v>
      </c>
      <c r="Q974" s="256">
        <f t="shared" si="182"/>
        <v>11486.2</v>
      </c>
      <c r="R974" s="256">
        <f t="shared" si="183"/>
        <v>63696.2</v>
      </c>
      <c r="S974" s="296"/>
      <c r="T974" s="62">
        <v>36</v>
      </c>
      <c r="U974" s="294"/>
    </row>
    <row r="975" spans="1:21" ht="15" customHeight="1" x14ac:dyDescent="0.35">
      <c r="A975" s="221" t="s">
        <v>3312</v>
      </c>
      <c r="B975" s="62">
        <v>936</v>
      </c>
      <c r="C975" s="165">
        <v>10118030</v>
      </c>
      <c r="D975" s="166" t="s">
        <v>1120</v>
      </c>
      <c r="E975" s="48" t="s">
        <v>2237</v>
      </c>
      <c r="F975" s="167">
        <v>11</v>
      </c>
      <c r="G975" s="62" t="s">
        <v>0</v>
      </c>
      <c r="H975" s="168" t="s">
        <v>522</v>
      </c>
      <c r="I975" s="51" t="s">
        <v>989</v>
      </c>
      <c r="J975" s="169" t="s">
        <v>2285</v>
      </c>
      <c r="K975" s="170" t="s">
        <v>1271</v>
      </c>
      <c r="L975" s="52" t="s">
        <v>871</v>
      </c>
      <c r="M975" s="162">
        <f t="shared" si="179"/>
        <v>129141.36</v>
      </c>
      <c r="N975" s="162">
        <f t="shared" si="181"/>
        <v>11740.12</v>
      </c>
      <c r="O975" s="162">
        <v>129141.36</v>
      </c>
      <c r="P975" s="72">
        <v>66000</v>
      </c>
      <c r="Q975" s="256">
        <f t="shared" si="182"/>
        <v>14520</v>
      </c>
      <c r="R975" s="256">
        <f t="shared" si="183"/>
        <v>80520</v>
      </c>
      <c r="S975" s="296"/>
      <c r="T975" s="62">
        <v>36</v>
      </c>
      <c r="U975" s="294"/>
    </row>
    <row r="976" spans="1:21" ht="30" customHeight="1" x14ac:dyDescent="0.35">
      <c r="A976" s="221" t="s">
        <v>3313</v>
      </c>
      <c r="B976" s="192">
        <v>937</v>
      </c>
      <c r="C976" s="165">
        <v>10118020</v>
      </c>
      <c r="D976" s="166" t="s">
        <v>1121</v>
      </c>
      <c r="E976" s="48" t="s">
        <v>2237</v>
      </c>
      <c r="F976" s="167">
        <v>6</v>
      </c>
      <c r="G976" s="62" t="s">
        <v>0</v>
      </c>
      <c r="H976" s="168" t="s">
        <v>523</v>
      </c>
      <c r="I976" s="51" t="s">
        <v>989</v>
      </c>
      <c r="J976" s="169" t="s">
        <v>2285</v>
      </c>
      <c r="K976" s="170" t="s">
        <v>1272</v>
      </c>
      <c r="L976" s="52" t="s">
        <v>871</v>
      </c>
      <c r="M976" s="162">
        <f t="shared" si="179"/>
        <v>77616</v>
      </c>
      <c r="N976" s="162">
        <f t="shared" si="181"/>
        <v>12936</v>
      </c>
      <c r="O976" s="162">
        <v>77616</v>
      </c>
      <c r="P976" s="72">
        <v>40420</v>
      </c>
      <c r="Q976" s="256">
        <f t="shared" si="182"/>
        <v>8892.4</v>
      </c>
      <c r="R976" s="256">
        <f t="shared" si="183"/>
        <v>49312.4</v>
      </c>
      <c r="S976" s="296"/>
      <c r="T976" s="62">
        <v>36</v>
      </c>
      <c r="U976" s="294"/>
    </row>
    <row r="977" spans="1:21" ht="30" customHeight="1" x14ac:dyDescent="0.35">
      <c r="A977" s="221" t="s">
        <v>3314</v>
      </c>
      <c r="B977" s="192">
        <v>938</v>
      </c>
      <c r="C977" s="165">
        <v>10117986</v>
      </c>
      <c r="D977" s="166" t="s">
        <v>1122</v>
      </c>
      <c r="E977" s="48" t="s">
        <v>2237</v>
      </c>
      <c r="F977" s="167">
        <v>10</v>
      </c>
      <c r="G977" s="62" t="s">
        <v>0</v>
      </c>
      <c r="H977" s="168" t="s">
        <v>523</v>
      </c>
      <c r="I977" s="51" t="s">
        <v>989</v>
      </c>
      <c r="J977" s="169" t="s">
        <v>2285</v>
      </c>
      <c r="K977" s="170" t="s">
        <v>1273</v>
      </c>
      <c r="L977" s="52" t="s">
        <v>871</v>
      </c>
      <c r="M977" s="162">
        <f t="shared" si="179"/>
        <v>171360</v>
      </c>
      <c r="N977" s="162">
        <f t="shared" si="181"/>
        <v>17136</v>
      </c>
      <c r="O977" s="162">
        <v>171360</v>
      </c>
      <c r="P977" s="72">
        <v>89250</v>
      </c>
      <c r="Q977" s="256">
        <f t="shared" si="182"/>
        <v>19635</v>
      </c>
      <c r="R977" s="256">
        <f t="shared" si="183"/>
        <v>108885</v>
      </c>
      <c r="S977" s="296"/>
      <c r="T977" s="62">
        <v>36</v>
      </c>
      <c r="U977" s="294"/>
    </row>
    <row r="978" spans="1:21" ht="34" customHeight="1" x14ac:dyDescent="0.35">
      <c r="A978" s="221" t="s">
        <v>3315</v>
      </c>
      <c r="B978" s="62">
        <v>939</v>
      </c>
      <c r="C978" s="165">
        <v>10124728</v>
      </c>
      <c r="D978" s="166" t="s">
        <v>493</v>
      </c>
      <c r="E978" s="48" t="s">
        <v>2237</v>
      </c>
      <c r="F978" s="167">
        <v>10</v>
      </c>
      <c r="G978" s="62" t="s">
        <v>0</v>
      </c>
      <c r="H978" s="168" t="s">
        <v>523</v>
      </c>
      <c r="I978" s="51" t="s">
        <v>989</v>
      </c>
      <c r="J978" s="169" t="s">
        <v>2285</v>
      </c>
      <c r="K978" s="170" t="s">
        <v>493</v>
      </c>
      <c r="L978" s="52" t="s">
        <v>871</v>
      </c>
      <c r="M978" s="162">
        <f t="shared" si="179"/>
        <v>25000</v>
      </c>
      <c r="N978" s="162">
        <f t="shared" si="181"/>
        <v>2500</v>
      </c>
      <c r="O978" s="162">
        <v>25000</v>
      </c>
      <c r="P978" s="72">
        <v>13020</v>
      </c>
      <c r="Q978" s="256">
        <f t="shared" si="182"/>
        <v>2864.4</v>
      </c>
      <c r="R978" s="256">
        <f t="shared" si="183"/>
        <v>15884.4</v>
      </c>
      <c r="S978" s="296"/>
      <c r="T978" s="62">
        <v>36</v>
      </c>
      <c r="U978" s="294"/>
    </row>
    <row r="979" spans="1:21" ht="15" customHeight="1" x14ac:dyDescent="0.35">
      <c r="A979" s="221" t="s">
        <v>3316</v>
      </c>
      <c r="B979" s="192">
        <v>940</v>
      </c>
      <c r="C979" s="165">
        <v>10111935</v>
      </c>
      <c r="D979" s="166" t="s">
        <v>1156</v>
      </c>
      <c r="E979" s="48" t="s">
        <v>2237</v>
      </c>
      <c r="F979" s="167">
        <v>3</v>
      </c>
      <c r="G979" s="62" t="s">
        <v>0</v>
      </c>
      <c r="H979" s="168" t="s">
        <v>523</v>
      </c>
      <c r="I979" s="51" t="s">
        <v>989</v>
      </c>
      <c r="J979" s="169" t="s">
        <v>2285</v>
      </c>
      <c r="K979" s="170" t="s">
        <v>1283</v>
      </c>
      <c r="L979" s="52" t="s">
        <v>871</v>
      </c>
      <c r="M979" s="162">
        <f t="shared" si="179"/>
        <v>18525.27</v>
      </c>
      <c r="N979" s="162">
        <f t="shared" si="181"/>
        <v>6175.09</v>
      </c>
      <c r="O979" s="162">
        <v>18525.27</v>
      </c>
      <c r="P979" s="72">
        <v>9520</v>
      </c>
      <c r="Q979" s="256">
        <f t="shared" si="182"/>
        <v>2094.4</v>
      </c>
      <c r="R979" s="256">
        <f t="shared" si="183"/>
        <v>11614.4</v>
      </c>
      <c r="S979" s="296"/>
      <c r="T979" s="62">
        <v>36</v>
      </c>
      <c r="U979" s="294"/>
    </row>
    <row r="980" spans="1:21" ht="15" customHeight="1" x14ac:dyDescent="0.35">
      <c r="A980" s="221" t="s">
        <v>3317</v>
      </c>
      <c r="B980" s="192">
        <v>941</v>
      </c>
      <c r="C980" s="71">
        <v>10151749</v>
      </c>
      <c r="D980" s="48" t="s">
        <v>1288</v>
      </c>
      <c r="E980" s="48" t="s">
        <v>2216</v>
      </c>
      <c r="F980" s="53">
        <v>1</v>
      </c>
      <c r="G980" s="62" t="s">
        <v>0</v>
      </c>
      <c r="H980" s="61">
        <v>41428</v>
      </c>
      <c r="I980" s="61" t="s">
        <v>2209</v>
      </c>
      <c r="J980" s="51" t="s">
        <v>1962</v>
      </c>
      <c r="K980" s="198" t="s">
        <v>988</v>
      </c>
      <c r="L980" s="52" t="s">
        <v>871</v>
      </c>
      <c r="M980" s="162">
        <f t="shared" si="179"/>
        <v>32878</v>
      </c>
      <c r="N980" s="162">
        <f t="shared" si="181"/>
        <v>32878</v>
      </c>
      <c r="O980" s="162">
        <v>32878</v>
      </c>
      <c r="P980" s="72">
        <v>16830</v>
      </c>
      <c r="Q980" s="256">
        <f t="shared" si="182"/>
        <v>3702.6</v>
      </c>
      <c r="R980" s="256">
        <f t="shared" si="183"/>
        <v>20532.599999999999</v>
      </c>
      <c r="S980" s="296"/>
      <c r="T980" s="62">
        <v>36</v>
      </c>
      <c r="U980" s="294"/>
    </row>
    <row r="981" spans="1:21" ht="15" customHeight="1" x14ac:dyDescent="0.35">
      <c r="A981" s="221" t="s">
        <v>3318</v>
      </c>
      <c r="B981" s="62">
        <v>942</v>
      </c>
      <c r="C981" s="71">
        <v>10157413</v>
      </c>
      <c r="D981" s="48" t="s">
        <v>1289</v>
      </c>
      <c r="E981" s="48" t="s">
        <v>2213</v>
      </c>
      <c r="F981" s="53">
        <v>1</v>
      </c>
      <c r="G981" s="62" t="s">
        <v>0</v>
      </c>
      <c r="H981" s="61">
        <v>40161</v>
      </c>
      <c r="I981" s="61" t="s">
        <v>2209</v>
      </c>
      <c r="J981" s="51" t="s">
        <v>1962</v>
      </c>
      <c r="K981" s="198" t="s">
        <v>988</v>
      </c>
      <c r="L981" s="52" t="s">
        <v>871</v>
      </c>
      <c r="M981" s="162">
        <f t="shared" si="179"/>
        <v>26399.93</v>
      </c>
      <c r="N981" s="162">
        <f t="shared" si="181"/>
        <v>26399.93</v>
      </c>
      <c r="O981" s="162">
        <v>26399.93</v>
      </c>
      <c r="P981" s="72">
        <v>15700</v>
      </c>
      <c r="Q981" s="256">
        <f t="shared" si="182"/>
        <v>3454</v>
      </c>
      <c r="R981" s="256">
        <f t="shared" si="183"/>
        <v>19154</v>
      </c>
      <c r="S981" s="296"/>
      <c r="T981" s="62">
        <v>36</v>
      </c>
      <c r="U981" s="294"/>
    </row>
    <row r="982" spans="1:21" ht="27" customHeight="1" x14ac:dyDescent="0.35">
      <c r="A982" s="221" t="s">
        <v>3319</v>
      </c>
      <c r="B982" s="192">
        <v>943</v>
      </c>
      <c r="C982" s="71">
        <v>10008132</v>
      </c>
      <c r="D982" s="48" t="s">
        <v>1290</v>
      </c>
      <c r="E982" s="48" t="s">
        <v>2213</v>
      </c>
      <c r="F982" s="53">
        <v>3</v>
      </c>
      <c r="G982" s="62" t="s">
        <v>0</v>
      </c>
      <c r="H982" s="61">
        <v>41364</v>
      </c>
      <c r="I982" s="61" t="s">
        <v>2209</v>
      </c>
      <c r="J982" s="51" t="s">
        <v>1962</v>
      </c>
      <c r="K982" s="198" t="s">
        <v>988</v>
      </c>
      <c r="L982" s="52" t="s">
        <v>871</v>
      </c>
      <c r="M982" s="162">
        <f t="shared" si="179"/>
        <v>14986.91</v>
      </c>
      <c r="N982" s="162">
        <f t="shared" si="181"/>
        <v>4995.6400000000003</v>
      </c>
      <c r="O982" s="162">
        <v>14986.91</v>
      </c>
      <c r="P982" s="72">
        <v>7690</v>
      </c>
      <c r="Q982" s="256">
        <f t="shared" si="182"/>
        <v>1691.8</v>
      </c>
      <c r="R982" s="256">
        <f t="shared" si="183"/>
        <v>9381.7999999999993</v>
      </c>
      <c r="S982" s="296"/>
      <c r="T982" s="62">
        <v>36</v>
      </c>
      <c r="U982" s="294"/>
    </row>
    <row r="983" spans="1:21" ht="15" customHeight="1" x14ac:dyDescent="0.35">
      <c r="A983" s="221" t="s">
        <v>3320</v>
      </c>
      <c r="B983" s="192">
        <v>944</v>
      </c>
      <c r="C983" s="71">
        <v>10015319</v>
      </c>
      <c r="D983" s="48" t="s">
        <v>1291</v>
      </c>
      <c r="E983" s="48" t="s">
        <v>2213</v>
      </c>
      <c r="F983" s="53">
        <v>3</v>
      </c>
      <c r="G983" s="62" t="s">
        <v>0</v>
      </c>
      <c r="H983" s="61" t="s">
        <v>1329</v>
      </c>
      <c r="I983" s="61" t="s">
        <v>2209</v>
      </c>
      <c r="J983" s="51" t="s">
        <v>1962</v>
      </c>
      <c r="K983" s="198" t="s">
        <v>988</v>
      </c>
      <c r="L983" s="52" t="s">
        <v>871</v>
      </c>
      <c r="M983" s="162">
        <f t="shared" si="179"/>
        <v>10361.57</v>
      </c>
      <c r="N983" s="162">
        <f t="shared" si="181"/>
        <v>3453.86</v>
      </c>
      <c r="O983" s="162">
        <v>10361.57</v>
      </c>
      <c r="P983" s="72">
        <v>5320</v>
      </c>
      <c r="Q983" s="256">
        <f t="shared" si="182"/>
        <v>1170.4000000000001</v>
      </c>
      <c r="R983" s="256">
        <f t="shared" si="183"/>
        <v>6490.4</v>
      </c>
      <c r="S983" s="296"/>
      <c r="T983" s="62">
        <v>36</v>
      </c>
      <c r="U983" s="294"/>
    </row>
    <row r="984" spans="1:21" ht="15" customHeight="1" x14ac:dyDescent="0.35">
      <c r="A984" s="221" t="s">
        <v>3321</v>
      </c>
      <c r="B984" s="62">
        <v>945</v>
      </c>
      <c r="C984" s="71">
        <v>10014351</v>
      </c>
      <c r="D984" s="48" t="s">
        <v>1292</v>
      </c>
      <c r="E984" s="48" t="s">
        <v>2213</v>
      </c>
      <c r="F984" s="53">
        <v>5</v>
      </c>
      <c r="G984" s="62" t="s">
        <v>0</v>
      </c>
      <c r="H984" s="61" t="s">
        <v>1330</v>
      </c>
      <c r="I984" s="61" t="s">
        <v>2209</v>
      </c>
      <c r="J984" s="51" t="s">
        <v>1962</v>
      </c>
      <c r="K984" s="198" t="s">
        <v>988</v>
      </c>
      <c r="L984" s="52" t="s">
        <v>871</v>
      </c>
      <c r="M984" s="162">
        <f t="shared" si="179"/>
        <v>12101.69</v>
      </c>
      <c r="N984" s="162">
        <f t="shared" si="181"/>
        <v>2420.34</v>
      </c>
      <c r="O984" s="162">
        <v>12101.69</v>
      </c>
      <c r="P984" s="72">
        <v>6200</v>
      </c>
      <c r="Q984" s="256">
        <f t="shared" si="182"/>
        <v>1364</v>
      </c>
      <c r="R984" s="256">
        <f t="shared" si="183"/>
        <v>7564</v>
      </c>
      <c r="S984" s="296"/>
      <c r="T984" s="62">
        <v>36</v>
      </c>
      <c r="U984" s="294"/>
    </row>
    <row r="985" spans="1:21" ht="33" customHeight="1" x14ac:dyDescent="0.35">
      <c r="A985" s="221" t="s">
        <v>3322</v>
      </c>
      <c r="B985" s="192">
        <v>946</v>
      </c>
      <c r="C985" s="71">
        <v>10014349</v>
      </c>
      <c r="D985" s="48" t="s">
        <v>1293</v>
      </c>
      <c r="E985" s="48" t="s">
        <v>2213</v>
      </c>
      <c r="F985" s="53">
        <v>7</v>
      </c>
      <c r="G985" s="62" t="s">
        <v>0</v>
      </c>
      <c r="H985" s="61">
        <v>42003</v>
      </c>
      <c r="I985" s="61" t="s">
        <v>2209</v>
      </c>
      <c r="J985" s="51" t="s">
        <v>1962</v>
      </c>
      <c r="K985" s="198" t="s">
        <v>988</v>
      </c>
      <c r="L985" s="52" t="s">
        <v>871</v>
      </c>
      <c r="M985" s="162">
        <f t="shared" si="179"/>
        <v>13596.97</v>
      </c>
      <c r="N985" s="162">
        <f t="shared" si="181"/>
        <v>1942.42</v>
      </c>
      <c r="O985" s="162">
        <v>13596.97</v>
      </c>
      <c r="P985" s="72">
        <v>6770</v>
      </c>
      <c r="Q985" s="256">
        <f t="shared" si="182"/>
        <v>1489.4</v>
      </c>
      <c r="R985" s="256">
        <f t="shared" si="183"/>
        <v>8259.4</v>
      </c>
      <c r="S985" s="296"/>
      <c r="T985" s="62">
        <v>36</v>
      </c>
      <c r="U985" s="294"/>
    </row>
    <row r="986" spans="1:21" ht="15" customHeight="1" x14ac:dyDescent="0.35">
      <c r="A986" s="221" t="s">
        <v>3323</v>
      </c>
      <c r="B986" s="192">
        <v>947</v>
      </c>
      <c r="C986" s="71">
        <v>10015225</v>
      </c>
      <c r="D986" s="48" t="s">
        <v>1294</v>
      </c>
      <c r="E986" s="48" t="s">
        <v>2213</v>
      </c>
      <c r="F986" s="53">
        <v>12</v>
      </c>
      <c r="G986" s="62" t="s">
        <v>0</v>
      </c>
      <c r="H986" s="61">
        <v>41856</v>
      </c>
      <c r="I986" s="61" t="s">
        <v>2209</v>
      </c>
      <c r="J986" s="51" t="s">
        <v>1962</v>
      </c>
      <c r="K986" s="198" t="s">
        <v>988</v>
      </c>
      <c r="L986" s="52" t="s">
        <v>871</v>
      </c>
      <c r="M986" s="162">
        <f t="shared" si="179"/>
        <v>17718.12</v>
      </c>
      <c r="N986" s="162">
        <f t="shared" si="181"/>
        <v>1476.51</v>
      </c>
      <c r="O986" s="162">
        <v>17718.12</v>
      </c>
      <c r="P986" s="72">
        <v>8870</v>
      </c>
      <c r="Q986" s="256">
        <f t="shared" si="182"/>
        <v>1951.4</v>
      </c>
      <c r="R986" s="256">
        <f t="shared" si="183"/>
        <v>10821.4</v>
      </c>
      <c r="S986" s="296"/>
      <c r="T986" s="62">
        <v>36</v>
      </c>
      <c r="U986" s="294"/>
    </row>
    <row r="987" spans="1:21" ht="15" customHeight="1" x14ac:dyDescent="0.35">
      <c r="A987" s="221" t="s">
        <v>3324</v>
      </c>
      <c r="B987" s="62">
        <v>948</v>
      </c>
      <c r="C987" s="71">
        <v>10014343</v>
      </c>
      <c r="D987" s="48" t="s">
        <v>1303</v>
      </c>
      <c r="E987" s="48" t="s">
        <v>2213</v>
      </c>
      <c r="F987" s="53">
        <v>2</v>
      </c>
      <c r="G987" s="62" t="s">
        <v>0</v>
      </c>
      <c r="H987" s="61">
        <v>42004</v>
      </c>
      <c r="I987" s="61" t="s">
        <v>2209</v>
      </c>
      <c r="J987" s="51" t="s">
        <v>1962</v>
      </c>
      <c r="K987" s="198" t="s">
        <v>988</v>
      </c>
      <c r="L987" s="52" t="s">
        <v>871</v>
      </c>
      <c r="M987" s="162">
        <f t="shared" si="179"/>
        <v>9776.27</v>
      </c>
      <c r="N987" s="162">
        <f t="shared" si="181"/>
        <v>4888.1400000000003</v>
      </c>
      <c r="O987" s="162">
        <v>9776.27</v>
      </c>
      <c r="P987" s="72">
        <v>4870</v>
      </c>
      <c r="Q987" s="256">
        <f t="shared" si="182"/>
        <v>1071.4000000000001</v>
      </c>
      <c r="R987" s="256">
        <f t="shared" si="183"/>
        <v>5941.4</v>
      </c>
      <c r="S987" s="296"/>
      <c r="T987" s="62">
        <v>36</v>
      </c>
      <c r="U987" s="294"/>
    </row>
    <row r="988" spans="1:21" ht="25.5" customHeight="1" x14ac:dyDescent="0.35">
      <c r="A988" s="221" t="s">
        <v>3325</v>
      </c>
      <c r="B988" s="192">
        <v>949</v>
      </c>
      <c r="C988" s="48">
        <v>10007550</v>
      </c>
      <c r="D988" s="48" t="s">
        <v>2251</v>
      </c>
      <c r="E988" s="48" t="s">
        <v>711</v>
      </c>
      <c r="F988" s="53">
        <v>1</v>
      </c>
      <c r="G988" s="62" t="s">
        <v>0</v>
      </c>
      <c r="H988" s="62">
        <v>2014</v>
      </c>
      <c r="I988" s="163" t="s">
        <v>1003</v>
      </c>
      <c r="J988" s="51" t="s">
        <v>1962</v>
      </c>
      <c r="K988" s="51" t="s">
        <v>988</v>
      </c>
      <c r="L988" s="61" t="s">
        <v>871</v>
      </c>
      <c r="M988" s="161">
        <f t="shared" si="179"/>
        <v>10806.99</v>
      </c>
      <c r="N988" s="161">
        <f t="shared" ref="N988:N1006" si="184">O988/F988</f>
        <v>10806.99</v>
      </c>
      <c r="O988" s="161">
        <v>10806.99</v>
      </c>
      <c r="P988" s="72">
        <v>5420</v>
      </c>
      <c r="Q988" s="256">
        <f t="shared" si="182"/>
        <v>1192.4000000000001</v>
      </c>
      <c r="R988" s="256">
        <f t="shared" si="183"/>
        <v>6612.4</v>
      </c>
      <c r="S988" s="296"/>
      <c r="T988" s="62">
        <v>36</v>
      </c>
      <c r="U988" s="294"/>
    </row>
    <row r="989" spans="1:21" ht="15" customHeight="1" x14ac:dyDescent="0.35">
      <c r="A989" s="221" t="s">
        <v>3326</v>
      </c>
      <c r="B989" s="192">
        <v>950</v>
      </c>
      <c r="C989" s="48">
        <v>102029237</v>
      </c>
      <c r="D989" s="48" t="s">
        <v>2150</v>
      </c>
      <c r="E989" s="48" t="s">
        <v>2197</v>
      </c>
      <c r="F989" s="53">
        <v>4</v>
      </c>
      <c r="G989" s="62" t="s">
        <v>0</v>
      </c>
      <c r="H989" s="62">
        <v>2007</v>
      </c>
      <c r="I989" s="163" t="s">
        <v>999</v>
      </c>
      <c r="J989" s="51" t="s">
        <v>1962</v>
      </c>
      <c r="K989" s="51" t="s">
        <v>988</v>
      </c>
      <c r="L989" s="61" t="s">
        <v>871</v>
      </c>
      <c r="M989" s="161">
        <f t="shared" si="179"/>
        <v>100844.48</v>
      </c>
      <c r="N989" s="161">
        <f t="shared" si="184"/>
        <v>25211.119999999999</v>
      </c>
      <c r="O989" s="161">
        <v>100844.48</v>
      </c>
      <c r="P989" s="72">
        <v>71500</v>
      </c>
      <c r="Q989" s="256">
        <f t="shared" si="182"/>
        <v>15730</v>
      </c>
      <c r="R989" s="256">
        <f t="shared" si="183"/>
        <v>87230</v>
      </c>
      <c r="S989" s="296"/>
      <c r="T989" s="62">
        <v>36</v>
      </c>
      <c r="U989" s="294"/>
    </row>
    <row r="990" spans="1:21" ht="15" customHeight="1" x14ac:dyDescent="0.35">
      <c r="A990" s="221" t="s">
        <v>3327</v>
      </c>
      <c r="B990" s="62">
        <v>951</v>
      </c>
      <c r="C990" s="48">
        <v>102029280</v>
      </c>
      <c r="D990" s="48" t="s">
        <v>2162</v>
      </c>
      <c r="E990" s="48" t="s">
        <v>2197</v>
      </c>
      <c r="F990" s="53">
        <v>4</v>
      </c>
      <c r="G990" s="62" t="s">
        <v>0</v>
      </c>
      <c r="H990" s="62">
        <v>2006</v>
      </c>
      <c r="I990" s="163" t="s">
        <v>999</v>
      </c>
      <c r="J990" s="51" t="s">
        <v>1962</v>
      </c>
      <c r="K990" s="199" t="s">
        <v>988</v>
      </c>
      <c r="L990" s="61" t="s">
        <v>871</v>
      </c>
      <c r="M990" s="161">
        <f t="shared" si="179"/>
        <v>27544.44</v>
      </c>
      <c r="N990" s="161">
        <f t="shared" si="184"/>
        <v>6886.11</v>
      </c>
      <c r="O990" s="161">
        <v>27544.44</v>
      </c>
      <c r="P990" s="72">
        <v>20800</v>
      </c>
      <c r="Q990" s="256">
        <f t="shared" si="182"/>
        <v>4576</v>
      </c>
      <c r="R990" s="256">
        <f t="shared" si="183"/>
        <v>25376</v>
      </c>
      <c r="S990" s="296"/>
      <c r="T990" s="62">
        <v>36</v>
      </c>
      <c r="U990" s="294"/>
    </row>
    <row r="991" spans="1:21" ht="15" customHeight="1" x14ac:dyDescent="0.35">
      <c r="A991" s="221" t="s">
        <v>3328</v>
      </c>
      <c r="B991" s="192">
        <v>952</v>
      </c>
      <c r="C991" s="48">
        <v>10009908</v>
      </c>
      <c r="D991" s="48" t="s">
        <v>2172</v>
      </c>
      <c r="E991" s="48" t="s">
        <v>2197</v>
      </c>
      <c r="F991" s="53">
        <v>27</v>
      </c>
      <c r="G991" s="62" t="s">
        <v>0</v>
      </c>
      <c r="H991" s="62">
        <v>2006</v>
      </c>
      <c r="I991" s="163" t="s">
        <v>999</v>
      </c>
      <c r="J991" s="51" t="s">
        <v>1962</v>
      </c>
      <c r="K991" s="199" t="s">
        <v>988</v>
      </c>
      <c r="L991" s="61" t="s">
        <v>871</v>
      </c>
      <c r="M991" s="161">
        <f t="shared" si="179"/>
        <v>182867.22</v>
      </c>
      <c r="N991" s="161">
        <f t="shared" si="184"/>
        <v>6772.86</v>
      </c>
      <c r="O991" s="161">
        <v>182867.22</v>
      </c>
      <c r="P991" s="72">
        <v>138070</v>
      </c>
      <c r="Q991" s="256">
        <f t="shared" si="182"/>
        <v>30375.4</v>
      </c>
      <c r="R991" s="256">
        <f t="shared" si="183"/>
        <v>168445.4</v>
      </c>
      <c r="S991" s="296"/>
      <c r="T991" s="62">
        <v>36</v>
      </c>
      <c r="U991" s="294"/>
    </row>
    <row r="992" spans="1:21" ht="15" customHeight="1" x14ac:dyDescent="0.35">
      <c r="A992" s="221" t="s">
        <v>3329</v>
      </c>
      <c r="B992" s="192">
        <v>953</v>
      </c>
      <c r="C992" s="48">
        <v>102029160</v>
      </c>
      <c r="D992" s="48" t="s">
        <v>2173</v>
      </c>
      <c r="E992" s="48" t="s">
        <v>2197</v>
      </c>
      <c r="F992" s="53">
        <v>4</v>
      </c>
      <c r="G992" s="62" t="s">
        <v>0</v>
      </c>
      <c r="H992" s="62">
        <v>2006</v>
      </c>
      <c r="I992" s="163" t="s">
        <v>999</v>
      </c>
      <c r="J992" s="51" t="s">
        <v>1962</v>
      </c>
      <c r="K992" s="51" t="s">
        <v>988</v>
      </c>
      <c r="L992" s="61" t="s">
        <v>871</v>
      </c>
      <c r="M992" s="161">
        <f t="shared" si="179"/>
        <v>51900</v>
      </c>
      <c r="N992" s="161">
        <f t="shared" si="184"/>
        <v>12975</v>
      </c>
      <c r="O992" s="161">
        <v>51900</v>
      </c>
      <c r="P992" s="72">
        <v>39190</v>
      </c>
      <c r="Q992" s="256">
        <f t="shared" si="182"/>
        <v>8621.7999999999993</v>
      </c>
      <c r="R992" s="256">
        <f t="shared" si="183"/>
        <v>47811.8</v>
      </c>
      <c r="S992" s="296"/>
      <c r="T992" s="62">
        <v>36</v>
      </c>
      <c r="U992" s="294"/>
    </row>
    <row r="993" spans="1:21" ht="15" customHeight="1" x14ac:dyDescent="0.35">
      <c r="A993" s="221" t="s">
        <v>3330</v>
      </c>
      <c r="B993" s="62">
        <v>954</v>
      </c>
      <c r="C993" s="48">
        <v>10105272</v>
      </c>
      <c r="D993" s="48" t="s">
        <v>2183</v>
      </c>
      <c r="E993" s="48" t="s">
        <v>2197</v>
      </c>
      <c r="F993" s="53">
        <v>3</v>
      </c>
      <c r="G993" s="62" t="s">
        <v>0</v>
      </c>
      <c r="H993" s="62">
        <v>2006</v>
      </c>
      <c r="I993" s="163" t="s">
        <v>999</v>
      </c>
      <c r="J993" s="51" t="s">
        <v>1962</v>
      </c>
      <c r="K993" s="51" t="s">
        <v>988</v>
      </c>
      <c r="L993" s="61" t="s">
        <v>871</v>
      </c>
      <c r="M993" s="161">
        <f t="shared" si="179"/>
        <v>22335</v>
      </c>
      <c r="N993" s="161">
        <f t="shared" si="184"/>
        <v>7445</v>
      </c>
      <c r="O993" s="161">
        <v>22335</v>
      </c>
      <c r="P993" s="72">
        <v>16860</v>
      </c>
      <c r="Q993" s="256">
        <f t="shared" si="182"/>
        <v>3709.2</v>
      </c>
      <c r="R993" s="256">
        <f t="shared" si="183"/>
        <v>20569.2</v>
      </c>
      <c r="S993" s="296"/>
      <c r="T993" s="62">
        <v>36</v>
      </c>
      <c r="U993" s="294"/>
    </row>
    <row r="994" spans="1:21" ht="15" customHeight="1" x14ac:dyDescent="0.35">
      <c r="A994" s="221" t="s">
        <v>3331</v>
      </c>
      <c r="B994" s="192">
        <v>955</v>
      </c>
      <c r="C994" s="71">
        <v>10123958</v>
      </c>
      <c r="D994" s="48" t="s">
        <v>46</v>
      </c>
      <c r="E994" s="19" t="s">
        <v>2219</v>
      </c>
      <c r="F994" s="53">
        <v>2</v>
      </c>
      <c r="G994" s="62" t="s">
        <v>0</v>
      </c>
      <c r="H994" s="198">
        <v>2014</v>
      </c>
      <c r="I994" s="27" t="s">
        <v>984</v>
      </c>
      <c r="J994" s="61" t="s">
        <v>1962</v>
      </c>
      <c r="K994" s="198" t="s">
        <v>2113</v>
      </c>
      <c r="L994" s="198" t="s">
        <v>1964</v>
      </c>
      <c r="M994" s="161">
        <f t="shared" ref="M994:M1006" si="185">O994</f>
        <v>1352.54</v>
      </c>
      <c r="N994" s="161">
        <f t="shared" si="184"/>
        <v>676.27</v>
      </c>
      <c r="O994" s="161">
        <v>1352.54</v>
      </c>
      <c r="P994" s="72">
        <v>960</v>
      </c>
      <c r="Q994" s="256">
        <f t="shared" si="182"/>
        <v>211.2</v>
      </c>
      <c r="R994" s="256">
        <f t="shared" si="183"/>
        <v>1171.2</v>
      </c>
      <c r="S994" s="296"/>
      <c r="T994" s="62">
        <v>36</v>
      </c>
      <c r="U994" s="294"/>
    </row>
    <row r="995" spans="1:21" ht="46.5" customHeight="1" x14ac:dyDescent="0.35">
      <c r="A995" s="221" t="s">
        <v>3332</v>
      </c>
      <c r="B995" s="192">
        <v>956</v>
      </c>
      <c r="C995" s="71">
        <v>10123496</v>
      </c>
      <c r="D995" s="48" t="s">
        <v>25</v>
      </c>
      <c r="E995" s="48" t="s">
        <v>2027</v>
      </c>
      <c r="F995" s="53">
        <v>1</v>
      </c>
      <c r="G995" s="62" t="s">
        <v>0</v>
      </c>
      <c r="H995" s="61">
        <v>40179</v>
      </c>
      <c r="I995" s="27" t="s">
        <v>984</v>
      </c>
      <c r="J995" s="200" t="s">
        <v>2273</v>
      </c>
      <c r="K995" s="61" t="s">
        <v>2030</v>
      </c>
      <c r="L995" s="61" t="s">
        <v>2147</v>
      </c>
      <c r="M995" s="161">
        <f t="shared" si="185"/>
        <v>29773.48</v>
      </c>
      <c r="N995" s="161">
        <f t="shared" si="184"/>
        <v>29773.48</v>
      </c>
      <c r="O995" s="161">
        <v>29773.48</v>
      </c>
      <c r="P995" s="72">
        <v>21500</v>
      </c>
      <c r="Q995" s="256">
        <f t="shared" si="182"/>
        <v>4730</v>
      </c>
      <c r="R995" s="256">
        <f t="shared" si="183"/>
        <v>26230</v>
      </c>
      <c r="S995" s="296"/>
      <c r="T995" s="62">
        <v>36</v>
      </c>
      <c r="U995" s="294"/>
    </row>
    <row r="996" spans="1:21" ht="39.65" customHeight="1" x14ac:dyDescent="0.35">
      <c r="A996" s="221" t="s">
        <v>3333</v>
      </c>
      <c r="B996" s="62">
        <v>957</v>
      </c>
      <c r="C996" s="71">
        <v>10102082</v>
      </c>
      <c r="D996" s="48" t="s">
        <v>122</v>
      </c>
      <c r="E996" s="48" t="s">
        <v>2027</v>
      </c>
      <c r="F996" s="53">
        <v>161</v>
      </c>
      <c r="G996" s="62" t="s">
        <v>0</v>
      </c>
      <c r="H996" s="198" t="s">
        <v>2195</v>
      </c>
      <c r="I996" s="27" t="s">
        <v>984</v>
      </c>
      <c r="J996" s="52" t="s">
        <v>2271</v>
      </c>
      <c r="K996" s="61" t="s">
        <v>1264</v>
      </c>
      <c r="L996" s="61" t="s">
        <v>2147</v>
      </c>
      <c r="M996" s="161">
        <f t="shared" si="185"/>
        <v>728686.1</v>
      </c>
      <c r="N996" s="161">
        <f t="shared" si="184"/>
        <v>4526</v>
      </c>
      <c r="O996" s="161">
        <v>728686.1</v>
      </c>
      <c r="P996" s="72">
        <v>550280</v>
      </c>
      <c r="Q996" s="256">
        <f t="shared" si="182"/>
        <v>121061.6</v>
      </c>
      <c r="R996" s="256">
        <f t="shared" si="183"/>
        <v>671341.6</v>
      </c>
      <c r="S996" s="296"/>
      <c r="T996" s="62">
        <v>36</v>
      </c>
      <c r="U996" s="294"/>
    </row>
    <row r="997" spans="1:21" ht="51" customHeight="1" x14ac:dyDescent="0.35">
      <c r="A997" s="221" t="s">
        <v>3334</v>
      </c>
      <c r="B997" s="192">
        <v>958</v>
      </c>
      <c r="C997" s="71">
        <v>10110475</v>
      </c>
      <c r="D997" s="48" t="s">
        <v>21</v>
      </c>
      <c r="E997" s="48" t="s">
        <v>2027</v>
      </c>
      <c r="F997" s="53">
        <v>1</v>
      </c>
      <c r="G997" s="62" t="s">
        <v>0</v>
      </c>
      <c r="H997" s="198">
        <v>2014</v>
      </c>
      <c r="I997" s="27" t="s">
        <v>984</v>
      </c>
      <c r="J997" s="200" t="s">
        <v>2064</v>
      </c>
      <c r="K997" s="198" t="s">
        <v>2065</v>
      </c>
      <c r="L997" s="61" t="s">
        <v>2147</v>
      </c>
      <c r="M997" s="161">
        <f t="shared" si="185"/>
        <v>3494.51</v>
      </c>
      <c r="N997" s="161">
        <f t="shared" si="184"/>
        <v>3494.51</v>
      </c>
      <c r="O997" s="161">
        <v>3494.51</v>
      </c>
      <c r="P997" s="72">
        <v>2540</v>
      </c>
      <c r="Q997" s="256">
        <f t="shared" si="182"/>
        <v>558.79999999999995</v>
      </c>
      <c r="R997" s="256">
        <f t="shared" si="183"/>
        <v>3098.8</v>
      </c>
      <c r="S997" s="296"/>
      <c r="T997" s="62">
        <v>36</v>
      </c>
      <c r="U997" s="294"/>
    </row>
    <row r="998" spans="1:21" ht="23.25" customHeight="1" x14ac:dyDescent="0.35">
      <c r="A998" s="221" t="s">
        <v>3335</v>
      </c>
      <c r="B998" s="192">
        <v>959</v>
      </c>
      <c r="C998" s="71">
        <v>10131355</v>
      </c>
      <c r="D998" s="48" t="s">
        <v>26</v>
      </c>
      <c r="E998" s="48" t="s">
        <v>2027</v>
      </c>
      <c r="F998" s="53">
        <v>1</v>
      </c>
      <c r="G998" s="62" t="s">
        <v>0</v>
      </c>
      <c r="H998" s="198">
        <v>2014</v>
      </c>
      <c r="I998" s="27" t="s">
        <v>984</v>
      </c>
      <c r="J998" s="61" t="s">
        <v>1962</v>
      </c>
      <c r="K998" s="198" t="s">
        <v>2066</v>
      </c>
      <c r="L998" s="61" t="s">
        <v>2147</v>
      </c>
      <c r="M998" s="161">
        <f t="shared" si="185"/>
        <v>28077</v>
      </c>
      <c r="N998" s="161">
        <f t="shared" si="184"/>
        <v>28077</v>
      </c>
      <c r="O998" s="161">
        <v>28077</v>
      </c>
      <c r="P998" s="72">
        <v>20410</v>
      </c>
      <c r="Q998" s="256">
        <f t="shared" si="182"/>
        <v>4490.2</v>
      </c>
      <c r="R998" s="256">
        <f t="shared" si="183"/>
        <v>24900.2</v>
      </c>
      <c r="S998" s="296"/>
      <c r="T998" s="62">
        <v>36</v>
      </c>
      <c r="U998" s="294"/>
    </row>
    <row r="999" spans="1:21" ht="57" customHeight="1" x14ac:dyDescent="0.35">
      <c r="A999" s="221" t="s">
        <v>3336</v>
      </c>
      <c r="B999" s="62">
        <v>960</v>
      </c>
      <c r="C999" s="71">
        <v>10015908</v>
      </c>
      <c r="D999" s="48" t="s">
        <v>38</v>
      </c>
      <c r="E999" s="48" t="s">
        <v>2027</v>
      </c>
      <c r="F999" s="53">
        <v>2</v>
      </c>
      <c r="G999" s="62" t="s">
        <v>0</v>
      </c>
      <c r="H999" s="198">
        <v>2014</v>
      </c>
      <c r="I999" s="27" t="s">
        <v>984</v>
      </c>
      <c r="J999" s="200" t="s">
        <v>2269</v>
      </c>
      <c r="K999" s="198" t="s">
        <v>2068</v>
      </c>
      <c r="L999" s="61" t="s">
        <v>2147</v>
      </c>
      <c r="M999" s="161">
        <f t="shared" si="185"/>
        <v>8195.7199999999993</v>
      </c>
      <c r="N999" s="161">
        <f t="shared" si="184"/>
        <v>4097.8599999999997</v>
      </c>
      <c r="O999" s="161">
        <v>8195.7199999999993</v>
      </c>
      <c r="P999" s="72">
        <v>5960</v>
      </c>
      <c r="Q999" s="256">
        <f t="shared" si="182"/>
        <v>1311.2</v>
      </c>
      <c r="R999" s="256">
        <f t="shared" si="183"/>
        <v>7271.2</v>
      </c>
      <c r="S999" s="296"/>
      <c r="T999" s="62">
        <v>36</v>
      </c>
      <c r="U999" s="294"/>
    </row>
    <row r="1000" spans="1:21" ht="15" customHeight="1" x14ac:dyDescent="0.35">
      <c r="A1000" s="221" t="s">
        <v>3337</v>
      </c>
      <c r="B1000" s="192">
        <v>961</v>
      </c>
      <c r="C1000" s="71">
        <v>10127030</v>
      </c>
      <c r="D1000" s="48" t="s">
        <v>48</v>
      </c>
      <c r="E1000" s="48" t="s">
        <v>2027</v>
      </c>
      <c r="F1000" s="53">
        <v>2</v>
      </c>
      <c r="G1000" s="62" t="s">
        <v>0</v>
      </c>
      <c r="H1000" s="198">
        <v>2014</v>
      </c>
      <c r="I1000" s="27" t="s">
        <v>984</v>
      </c>
      <c r="J1000" s="198" t="s">
        <v>2264</v>
      </c>
      <c r="K1000" s="198" t="s">
        <v>2070</v>
      </c>
      <c r="L1000" s="61" t="s">
        <v>2147</v>
      </c>
      <c r="M1000" s="161">
        <f t="shared" si="185"/>
        <v>23064.48</v>
      </c>
      <c r="N1000" s="161">
        <f t="shared" si="184"/>
        <v>11532.24</v>
      </c>
      <c r="O1000" s="161">
        <v>23064.48</v>
      </c>
      <c r="P1000" s="72">
        <v>16770</v>
      </c>
      <c r="Q1000" s="256">
        <f t="shared" si="182"/>
        <v>3689.4</v>
      </c>
      <c r="R1000" s="256">
        <f t="shared" si="183"/>
        <v>20459.400000000001</v>
      </c>
      <c r="S1000" s="296"/>
      <c r="T1000" s="62">
        <v>36</v>
      </c>
      <c r="U1000" s="294"/>
    </row>
    <row r="1001" spans="1:21" ht="23.15" customHeight="1" x14ac:dyDescent="0.35">
      <c r="A1001" s="221" t="s">
        <v>3338</v>
      </c>
      <c r="B1001" s="192">
        <v>962</v>
      </c>
      <c r="C1001" s="71">
        <v>10051079</v>
      </c>
      <c r="D1001" s="48" t="s">
        <v>55</v>
      </c>
      <c r="E1001" s="48" t="s">
        <v>2027</v>
      </c>
      <c r="F1001" s="53">
        <v>3</v>
      </c>
      <c r="G1001" s="62" t="s">
        <v>0</v>
      </c>
      <c r="H1001" s="198">
        <v>2014</v>
      </c>
      <c r="I1001" s="27" t="s">
        <v>984</v>
      </c>
      <c r="J1001" s="198" t="s">
        <v>2268</v>
      </c>
      <c r="K1001" s="198" t="s">
        <v>2071</v>
      </c>
      <c r="L1001" s="61" t="s">
        <v>2147</v>
      </c>
      <c r="M1001" s="161">
        <f t="shared" si="185"/>
        <v>1545.12</v>
      </c>
      <c r="N1001" s="161">
        <f t="shared" si="184"/>
        <v>515.04</v>
      </c>
      <c r="O1001" s="161">
        <v>1545.12</v>
      </c>
      <c r="P1001" s="72">
        <v>1120</v>
      </c>
      <c r="Q1001" s="256">
        <f t="shared" si="182"/>
        <v>246.4</v>
      </c>
      <c r="R1001" s="256">
        <f t="shared" si="183"/>
        <v>1366.4</v>
      </c>
      <c r="S1001" s="296"/>
      <c r="T1001" s="62">
        <v>36</v>
      </c>
      <c r="U1001" s="294"/>
    </row>
    <row r="1002" spans="1:21" ht="31.5" customHeight="1" x14ac:dyDescent="0.35">
      <c r="A1002" s="221" t="s">
        <v>3339</v>
      </c>
      <c r="B1002" s="62">
        <v>963</v>
      </c>
      <c r="C1002" s="71">
        <v>10019156</v>
      </c>
      <c r="D1002" s="48" t="s">
        <v>71</v>
      </c>
      <c r="E1002" s="48" t="s">
        <v>2027</v>
      </c>
      <c r="F1002" s="53">
        <v>5</v>
      </c>
      <c r="G1002" s="62" t="s">
        <v>0</v>
      </c>
      <c r="H1002" s="198">
        <v>2014</v>
      </c>
      <c r="I1002" s="27" t="s">
        <v>984</v>
      </c>
      <c r="J1002" s="200" t="s">
        <v>2267</v>
      </c>
      <c r="K1002" s="198" t="s">
        <v>2074</v>
      </c>
      <c r="L1002" s="61" t="s">
        <v>2147</v>
      </c>
      <c r="M1002" s="161">
        <f t="shared" si="185"/>
        <v>14500</v>
      </c>
      <c r="N1002" s="161">
        <f t="shared" si="184"/>
        <v>2900</v>
      </c>
      <c r="O1002" s="161">
        <v>14500</v>
      </c>
      <c r="P1002" s="72">
        <v>10540</v>
      </c>
      <c r="Q1002" s="256">
        <f t="shared" si="182"/>
        <v>2318.8000000000002</v>
      </c>
      <c r="R1002" s="256">
        <f t="shared" si="183"/>
        <v>12858.8</v>
      </c>
      <c r="S1002" s="296"/>
      <c r="T1002" s="62">
        <v>36</v>
      </c>
      <c r="U1002" s="294"/>
    </row>
    <row r="1003" spans="1:21" ht="32.15" customHeight="1" x14ac:dyDescent="0.35">
      <c r="A1003" s="221" t="s">
        <v>3340</v>
      </c>
      <c r="B1003" s="192">
        <v>964</v>
      </c>
      <c r="C1003" s="71">
        <v>10015746</v>
      </c>
      <c r="D1003" s="48" t="s">
        <v>76</v>
      </c>
      <c r="E1003" s="48" t="s">
        <v>2027</v>
      </c>
      <c r="F1003" s="53">
        <v>6</v>
      </c>
      <c r="G1003" s="62" t="s">
        <v>0</v>
      </c>
      <c r="H1003" s="198">
        <v>2014</v>
      </c>
      <c r="I1003" s="27" t="s">
        <v>984</v>
      </c>
      <c r="J1003" s="200" t="s">
        <v>2266</v>
      </c>
      <c r="K1003" s="198" t="s">
        <v>2077</v>
      </c>
      <c r="L1003" s="61" t="s">
        <v>2147</v>
      </c>
      <c r="M1003" s="161">
        <f t="shared" si="185"/>
        <v>35122.800000000003</v>
      </c>
      <c r="N1003" s="161">
        <f t="shared" si="184"/>
        <v>5853.8</v>
      </c>
      <c r="O1003" s="161">
        <v>35122.800000000003</v>
      </c>
      <c r="P1003" s="72">
        <v>25530</v>
      </c>
      <c r="Q1003" s="256">
        <f t="shared" ref="Q1003:Q1006" si="186">R1003-P1003</f>
        <v>5616.6</v>
      </c>
      <c r="R1003" s="256">
        <f t="shared" si="183"/>
        <v>31146.6</v>
      </c>
      <c r="S1003" s="296"/>
      <c r="T1003" s="62">
        <v>36</v>
      </c>
      <c r="U1003" s="294"/>
    </row>
    <row r="1004" spans="1:21" ht="15" customHeight="1" x14ac:dyDescent="0.35">
      <c r="A1004" s="221" t="s">
        <v>3341</v>
      </c>
      <c r="B1004" s="192">
        <v>965</v>
      </c>
      <c r="C1004" s="71">
        <v>10129515</v>
      </c>
      <c r="D1004" s="48" t="s">
        <v>79</v>
      </c>
      <c r="E1004" s="48" t="s">
        <v>2219</v>
      </c>
      <c r="F1004" s="53">
        <f>7-3</f>
        <v>4</v>
      </c>
      <c r="G1004" s="62" t="s">
        <v>0</v>
      </c>
      <c r="H1004" s="198">
        <v>2014</v>
      </c>
      <c r="I1004" s="27" t="s">
        <v>984</v>
      </c>
      <c r="J1004" s="198" t="s">
        <v>2265</v>
      </c>
      <c r="K1004" s="198" t="s">
        <v>2080</v>
      </c>
      <c r="L1004" s="61" t="s">
        <v>2147</v>
      </c>
      <c r="M1004" s="161">
        <f t="shared" si="185"/>
        <v>40280.26</v>
      </c>
      <c r="N1004" s="161">
        <f t="shared" si="184"/>
        <v>10070.07</v>
      </c>
      <c r="O1004" s="161">
        <f>70490.46/7*4</f>
        <v>40280.26</v>
      </c>
      <c r="P1004" s="72">
        <v>29280</v>
      </c>
      <c r="Q1004" s="256">
        <f t="shared" si="186"/>
        <v>6441.6</v>
      </c>
      <c r="R1004" s="256">
        <f t="shared" si="183"/>
        <v>35721.599999999999</v>
      </c>
      <c r="S1004" s="296"/>
      <c r="T1004" s="62">
        <v>36</v>
      </c>
      <c r="U1004" s="294"/>
    </row>
    <row r="1005" spans="1:21" ht="15" customHeight="1" x14ac:dyDescent="0.35">
      <c r="A1005" s="221" t="s">
        <v>3342</v>
      </c>
      <c r="B1005" s="62">
        <v>966</v>
      </c>
      <c r="C1005" s="71">
        <v>10152919</v>
      </c>
      <c r="D1005" s="48" t="s">
        <v>111</v>
      </c>
      <c r="E1005" s="19" t="s">
        <v>2219</v>
      </c>
      <c r="F1005" s="53">
        <f>59-10</f>
        <v>49</v>
      </c>
      <c r="G1005" s="62" t="s">
        <v>0</v>
      </c>
      <c r="H1005" s="198">
        <v>2014</v>
      </c>
      <c r="I1005" s="27" t="s">
        <v>984</v>
      </c>
      <c r="J1005" s="198" t="s">
        <v>986</v>
      </c>
      <c r="K1005" s="198" t="s">
        <v>2092</v>
      </c>
      <c r="L1005" s="61" t="s">
        <v>2147</v>
      </c>
      <c r="M1005" s="161">
        <f t="shared" si="185"/>
        <v>92100.72</v>
      </c>
      <c r="N1005" s="161">
        <f t="shared" si="184"/>
        <v>1879.61</v>
      </c>
      <c r="O1005" s="161">
        <f>110896.78/59*49</f>
        <v>92100.72</v>
      </c>
      <c r="P1005" s="72">
        <v>66950</v>
      </c>
      <c r="Q1005" s="256">
        <f t="shared" si="186"/>
        <v>14729</v>
      </c>
      <c r="R1005" s="256">
        <f t="shared" si="183"/>
        <v>81679</v>
      </c>
      <c r="S1005" s="296"/>
      <c r="T1005" s="62">
        <v>36</v>
      </c>
      <c r="U1005" s="294"/>
    </row>
    <row r="1006" spans="1:21" ht="29.5" customHeight="1" x14ac:dyDescent="0.35">
      <c r="A1006" s="221" t="s">
        <v>3343</v>
      </c>
      <c r="B1006" s="192">
        <v>967</v>
      </c>
      <c r="C1006" s="71">
        <v>10103092</v>
      </c>
      <c r="D1006" s="48" t="s">
        <v>138</v>
      </c>
      <c r="E1006" s="48" t="s">
        <v>2219</v>
      </c>
      <c r="F1006" s="53">
        <f>1007-493-264</f>
        <v>250</v>
      </c>
      <c r="G1006" s="62" t="s">
        <v>0</v>
      </c>
      <c r="H1006" s="198">
        <v>2014</v>
      </c>
      <c r="I1006" s="27" t="s">
        <v>984</v>
      </c>
      <c r="J1006" s="200" t="s">
        <v>2262</v>
      </c>
      <c r="K1006" s="198" t="s">
        <v>2101</v>
      </c>
      <c r="L1006" s="61" t="s">
        <v>2147</v>
      </c>
      <c r="M1006" s="161">
        <f t="shared" si="185"/>
        <v>943838.97</v>
      </c>
      <c r="N1006" s="161">
        <f t="shared" si="184"/>
        <v>3775.36</v>
      </c>
      <c r="O1006" s="161">
        <f>3801783.36/1007*250</f>
        <v>943838.97</v>
      </c>
      <c r="P1006" s="72">
        <v>686140</v>
      </c>
      <c r="Q1006" s="256">
        <f t="shared" si="186"/>
        <v>150950.79999999999</v>
      </c>
      <c r="R1006" s="256">
        <f t="shared" si="183"/>
        <v>837090.8</v>
      </c>
      <c r="S1006" s="297"/>
      <c r="T1006" s="62">
        <v>36</v>
      </c>
      <c r="U1006" s="294"/>
    </row>
    <row r="1007" spans="1:21" ht="15" customHeight="1" x14ac:dyDescent="0.35">
      <c r="A1007" s="218"/>
      <c r="B1007" s="138"/>
      <c r="C1007" s="44"/>
      <c r="D1007" s="18"/>
      <c r="E1007" s="18"/>
      <c r="F1007" s="12"/>
      <c r="G1007" s="3"/>
      <c r="H1007" s="49"/>
      <c r="I1007" s="27"/>
      <c r="J1007" s="35"/>
      <c r="K1007" s="49"/>
      <c r="L1007" s="5"/>
      <c r="M1007" s="72"/>
      <c r="N1007" s="72"/>
      <c r="O1007" s="82">
        <f>SUM(O907:O1006)</f>
        <v>12324420.4</v>
      </c>
      <c r="P1007" s="276">
        <f t="shared" ref="P1007:Q1007" si="187">SUM(P907:P1006)</f>
        <v>7024260</v>
      </c>
      <c r="Q1007" s="282">
        <f t="shared" si="187"/>
        <v>1545337.2</v>
      </c>
      <c r="R1007" s="282">
        <f>SUM(R907:R1006)</f>
        <v>8569597.1999999993</v>
      </c>
      <c r="S1007" s="286">
        <f>R1007/100*10</f>
        <v>856959.72</v>
      </c>
      <c r="T1007" s="104">
        <v>36</v>
      </c>
      <c r="U1007" s="295"/>
    </row>
    <row r="1008" spans="1:21" ht="30.75" customHeight="1" x14ac:dyDescent="0.35">
      <c r="A1008" s="218" t="s">
        <v>3344</v>
      </c>
      <c r="B1008" s="3">
        <v>968</v>
      </c>
      <c r="C1008" s="44">
        <v>10148684</v>
      </c>
      <c r="D1008" s="18" t="s">
        <v>1559</v>
      </c>
      <c r="E1008" s="18" t="s">
        <v>2027</v>
      </c>
      <c r="F1008" s="12">
        <v>6</v>
      </c>
      <c r="G1008" s="3" t="s">
        <v>0</v>
      </c>
      <c r="H1008" s="39">
        <v>41640</v>
      </c>
      <c r="I1008" s="27" t="s">
        <v>984</v>
      </c>
      <c r="J1008" s="4" t="s">
        <v>2258</v>
      </c>
      <c r="K1008" s="4" t="s">
        <v>988</v>
      </c>
      <c r="L1008" s="29" t="s">
        <v>977</v>
      </c>
      <c r="M1008" s="78">
        <v>5887.74</v>
      </c>
      <c r="N1008" s="78">
        <v>981.29</v>
      </c>
      <c r="O1008" s="78">
        <v>5887.74</v>
      </c>
      <c r="P1008" s="72">
        <v>7160</v>
      </c>
      <c r="Q1008" s="256">
        <f>R1008-P1008</f>
        <v>1575.2</v>
      </c>
      <c r="R1008" s="256">
        <f>P1008*1.22</f>
        <v>8735.2000000000007</v>
      </c>
      <c r="S1008" s="281"/>
      <c r="T1008" s="3">
        <v>37</v>
      </c>
      <c r="U1008" s="292" t="s">
        <v>2323</v>
      </c>
    </row>
    <row r="1009" spans="1:21" ht="15" customHeight="1" x14ac:dyDescent="0.35">
      <c r="A1009" s="218"/>
      <c r="B1009" s="94"/>
      <c r="C1009" s="44"/>
      <c r="D1009" s="18"/>
      <c r="E1009" s="18"/>
      <c r="F1009" s="12"/>
      <c r="G1009" s="3"/>
      <c r="H1009" s="39"/>
      <c r="I1009" s="27"/>
      <c r="J1009" s="4"/>
      <c r="K1009" s="4"/>
      <c r="L1009" s="29"/>
      <c r="M1009" s="78"/>
      <c r="N1009" s="78"/>
      <c r="O1009" s="108">
        <f>O1008</f>
        <v>5887.74</v>
      </c>
      <c r="P1009" s="276">
        <f t="shared" ref="P1009:Q1009" si="188">P1008</f>
        <v>7160</v>
      </c>
      <c r="Q1009" s="282">
        <f t="shared" si="188"/>
        <v>1575.2</v>
      </c>
      <c r="R1009" s="282">
        <f>R1008</f>
        <v>8735.2000000000007</v>
      </c>
      <c r="S1009" s="286">
        <f>R1009/100*10</f>
        <v>873.52</v>
      </c>
      <c r="T1009" s="104">
        <v>37</v>
      </c>
      <c r="U1009" s="304"/>
    </row>
    <row r="1010" spans="1:21" ht="45" customHeight="1" x14ac:dyDescent="0.35">
      <c r="A1010" s="231" t="s">
        <v>4278</v>
      </c>
      <c r="B1010" s="3">
        <v>969</v>
      </c>
      <c r="C1010" s="44">
        <v>10148687</v>
      </c>
      <c r="D1010" s="18" t="s">
        <v>218</v>
      </c>
      <c r="E1010" s="18" t="s">
        <v>4274</v>
      </c>
      <c r="F1010" s="12">
        <v>17</v>
      </c>
      <c r="G1010" s="3" t="s">
        <v>0</v>
      </c>
      <c r="H1010" s="5">
        <v>42004</v>
      </c>
      <c r="I1010" s="38" t="s">
        <v>985</v>
      </c>
      <c r="J1010" s="4" t="s">
        <v>1962</v>
      </c>
      <c r="K1010" s="6" t="s">
        <v>2019</v>
      </c>
      <c r="L1010" s="6" t="s">
        <v>871</v>
      </c>
      <c r="M1010" s="81">
        <f t="shared" ref="M1010:M1057" si="189">O1010</f>
        <v>16681.93</v>
      </c>
      <c r="N1010" s="81">
        <f>O1010/F1010</f>
        <v>981.29</v>
      </c>
      <c r="O1010" s="81">
        <v>16681.93</v>
      </c>
      <c r="P1010" s="72">
        <v>11120</v>
      </c>
      <c r="Q1010" s="256">
        <f>R1010-P1010</f>
        <v>2446.4</v>
      </c>
      <c r="R1010" s="256">
        <f>P1010*1.22</f>
        <v>13566.4</v>
      </c>
      <c r="S1010" s="281"/>
      <c r="T1010" s="3">
        <v>38</v>
      </c>
      <c r="U1010" s="292" t="s">
        <v>2323</v>
      </c>
    </row>
    <row r="1011" spans="1:21" ht="15" customHeight="1" x14ac:dyDescent="0.35">
      <c r="A1011" s="218"/>
      <c r="B1011" s="94"/>
      <c r="C1011" s="44"/>
      <c r="D1011" s="18"/>
      <c r="E1011" s="18"/>
      <c r="F1011" s="12"/>
      <c r="G1011" s="3"/>
      <c r="H1011" s="5"/>
      <c r="I1011" s="38"/>
      <c r="J1011" s="4"/>
      <c r="K1011" s="6"/>
      <c r="L1011" s="6"/>
      <c r="M1011" s="81"/>
      <c r="N1011" s="81"/>
      <c r="O1011" s="109">
        <f>SUM(O1010:O1010)</f>
        <v>16681.93</v>
      </c>
      <c r="P1011" s="276">
        <f t="shared" ref="P1011:Q1011" si="190">P1010</f>
        <v>11120</v>
      </c>
      <c r="Q1011" s="282">
        <f t="shared" si="190"/>
        <v>2446.4</v>
      </c>
      <c r="R1011" s="282">
        <f>R1010</f>
        <v>13566.4</v>
      </c>
      <c r="S1011" s="286">
        <f>R1011/100*10</f>
        <v>1356.64</v>
      </c>
      <c r="T1011" s="104">
        <v>38</v>
      </c>
      <c r="U1011" s="304"/>
    </row>
    <row r="1012" spans="1:21" ht="36.75" customHeight="1" x14ac:dyDescent="0.35">
      <c r="A1012" s="218" t="s">
        <v>3345</v>
      </c>
      <c r="B1012" s="3">
        <v>970</v>
      </c>
      <c r="C1012" s="44">
        <v>10144587</v>
      </c>
      <c r="D1012" s="18" t="s">
        <v>509</v>
      </c>
      <c r="E1012" s="19" t="s">
        <v>2230</v>
      </c>
      <c r="F1012" s="12">
        <v>1</v>
      </c>
      <c r="G1012" s="3" t="s">
        <v>0</v>
      </c>
      <c r="H1012" s="5" t="s">
        <v>524</v>
      </c>
      <c r="I1012" s="5" t="s">
        <v>1002</v>
      </c>
      <c r="J1012" s="4" t="s">
        <v>1962</v>
      </c>
      <c r="K1012" s="4" t="s">
        <v>509</v>
      </c>
      <c r="L1012" s="5" t="s">
        <v>977</v>
      </c>
      <c r="M1012" s="72">
        <f t="shared" si="189"/>
        <v>76300</v>
      </c>
      <c r="N1012" s="72">
        <f t="shared" ref="N1012:N1017" si="191">O1012/F1012</f>
        <v>76300</v>
      </c>
      <c r="O1012" s="72">
        <v>76300</v>
      </c>
      <c r="P1012" s="72">
        <v>116580</v>
      </c>
      <c r="Q1012" s="256">
        <f t="shared" ref="Q1012:Q1017" si="192">R1012-P1012</f>
        <v>25647.599999999999</v>
      </c>
      <c r="R1012" s="256">
        <f t="shared" ref="R1012:R1017" si="193">P1012*1.22</f>
        <v>142227.6</v>
      </c>
      <c r="S1012" s="289"/>
      <c r="T1012" s="3">
        <v>39</v>
      </c>
      <c r="U1012" s="292" t="s">
        <v>2324</v>
      </c>
    </row>
    <row r="1013" spans="1:21" ht="15" customHeight="1" x14ac:dyDescent="0.35">
      <c r="A1013" s="218" t="s">
        <v>3346</v>
      </c>
      <c r="B1013" s="3">
        <v>971</v>
      </c>
      <c r="C1013" s="66">
        <v>10142577</v>
      </c>
      <c r="D1013" s="24" t="s">
        <v>1353</v>
      </c>
      <c r="E1013" s="24" t="s">
        <v>2226</v>
      </c>
      <c r="F1013" s="93">
        <v>7</v>
      </c>
      <c r="G1013" s="3" t="s">
        <v>0</v>
      </c>
      <c r="H1013" s="25" t="s">
        <v>517</v>
      </c>
      <c r="I1013" s="26" t="s">
        <v>1360</v>
      </c>
      <c r="J1013" s="4" t="s">
        <v>1962</v>
      </c>
      <c r="K1013" s="4" t="s">
        <v>988</v>
      </c>
      <c r="L1013" s="29" t="s">
        <v>977</v>
      </c>
      <c r="M1013" s="78">
        <f t="shared" si="189"/>
        <v>1185965.54</v>
      </c>
      <c r="N1013" s="78">
        <f t="shared" si="191"/>
        <v>169423.65</v>
      </c>
      <c r="O1013" s="78">
        <v>1185965.54</v>
      </c>
      <c r="P1013" s="72">
        <v>1812030</v>
      </c>
      <c r="Q1013" s="256">
        <f t="shared" si="192"/>
        <v>398646.6</v>
      </c>
      <c r="R1013" s="256">
        <f t="shared" si="193"/>
        <v>2210676.6</v>
      </c>
      <c r="S1013" s="296"/>
      <c r="T1013" s="3">
        <v>39</v>
      </c>
      <c r="U1013" s="293"/>
    </row>
    <row r="1014" spans="1:21" ht="15" customHeight="1" x14ac:dyDescent="0.35">
      <c r="A1014" s="218" t="s">
        <v>3347</v>
      </c>
      <c r="B1014" s="3">
        <v>972</v>
      </c>
      <c r="C1014" s="66">
        <v>102001009</v>
      </c>
      <c r="D1014" s="24" t="s">
        <v>1354</v>
      </c>
      <c r="E1014" s="24" t="s">
        <v>2226</v>
      </c>
      <c r="F1014" s="93">
        <v>1</v>
      </c>
      <c r="G1014" s="3" t="s">
        <v>0</v>
      </c>
      <c r="H1014" s="25" t="s">
        <v>517</v>
      </c>
      <c r="I1014" s="26" t="s">
        <v>1360</v>
      </c>
      <c r="J1014" s="4" t="s">
        <v>1962</v>
      </c>
      <c r="K1014" s="4" t="s">
        <v>988</v>
      </c>
      <c r="L1014" s="29" t="s">
        <v>977</v>
      </c>
      <c r="M1014" s="78">
        <f t="shared" si="189"/>
        <v>263145</v>
      </c>
      <c r="N1014" s="78">
        <f t="shared" si="191"/>
        <v>263145</v>
      </c>
      <c r="O1014" s="78">
        <v>263145</v>
      </c>
      <c r="P1014" s="72">
        <v>402060</v>
      </c>
      <c r="Q1014" s="256">
        <f t="shared" si="192"/>
        <v>88453.2</v>
      </c>
      <c r="R1014" s="256">
        <f t="shared" si="193"/>
        <v>490513.2</v>
      </c>
      <c r="S1014" s="296"/>
      <c r="T1014" s="3">
        <v>39</v>
      </c>
      <c r="U1014" s="293"/>
    </row>
    <row r="1015" spans="1:21" ht="15" customHeight="1" x14ac:dyDescent="0.35">
      <c r="A1015" s="218" t="s">
        <v>3348</v>
      </c>
      <c r="B1015" s="3">
        <v>973</v>
      </c>
      <c r="C1015" s="66">
        <v>102001047</v>
      </c>
      <c r="D1015" s="24" t="s">
        <v>1355</v>
      </c>
      <c r="E1015" s="24" t="s">
        <v>2226</v>
      </c>
      <c r="F1015" s="93">
        <v>4</v>
      </c>
      <c r="G1015" s="3" t="s">
        <v>0</v>
      </c>
      <c r="H1015" s="25" t="s">
        <v>517</v>
      </c>
      <c r="I1015" s="26" t="s">
        <v>1360</v>
      </c>
      <c r="J1015" s="4" t="s">
        <v>1962</v>
      </c>
      <c r="K1015" s="4" t="s">
        <v>988</v>
      </c>
      <c r="L1015" s="29" t="s">
        <v>977</v>
      </c>
      <c r="M1015" s="78">
        <f t="shared" si="189"/>
        <v>970978.99</v>
      </c>
      <c r="N1015" s="78">
        <f t="shared" si="191"/>
        <v>242744.75</v>
      </c>
      <c r="O1015" s="78">
        <v>970978.99</v>
      </c>
      <c r="P1015" s="72">
        <v>1483550</v>
      </c>
      <c r="Q1015" s="256">
        <f t="shared" si="192"/>
        <v>326381</v>
      </c>
      <c r="R1015" s="256">
        <f t="shared" si="193"/>
        <v>1809931</v>
      </c>
      <c r="S1015" s="296"/>
      <c r="T1015" s="3">
        <v>39</v>
      </c>
      <c r="U1015" s="293"/>
    </row>
    <row r="1016" spans="1:21" ht="27" customHeight="1" x14ac:dyDescent="0.35">
      <c r="A1016" s="218" t="s">
        <v>3349</v>
      </c>
      <c r="B1016" s="3">
        <v>974</v>
      </c>
      <c r="C1016" s="65">
        <v>10158758</v>
      </c>
      <c r="D1016" s="8" t="s">
        <v>1420</v>
      </c>
      <c r="E1016" s="19" t="s">
        <v>2219</v>
      </c>
      <c r="F1016" s="92">
        <v>7</v>
      </c>
      <c r="G1016" s="3" t="s">
        <v>0</v>
      </c>
      <c r="H1016" s="40">
        <v>41579</v>
      </c>
      <c r="I1016" s="27" t="s">
        <v>984</v>
      </c>
      <c r="J1016" s="41" t="s">
        <v>1422</v>
      </c>
      <c r="K1016" s="4" t="s">
        <v>988</v>
      </c>
      <c r="L1016" s="29" t="s">
        <v>977</v>
      </c>
      <c r="M1016" s="78">
        <f t="shared" si="189"/>
        <v>2975000</v>
      </c>
      <c r="N1016" s="78">
        <f t="shared" si="191"/>
        <v>425000</v>
      </c>
      <c r="O1016" s="78">
        <v>2975000</v>
      </c>
      <c r="P1016" s="72">
        <v>4485750</v>
      </c>
      <c r="Q1016" s="256">
        <f t="shared" si="192"/>
        <v>986865</v>
      </c>
      <c r="R1016" s="256">
        <f t="shared" si="193"/>
        <v>5472615</v>
      </c>
      <c r="S1016" s="296"/>
      <c r="T1016" s="3">
        <v>39</v>
      </c>
      <c r="U1016" s="293"/>
    </row>
    <row r="1017" spans="1:21" ht="31.5" customHeight="1" x14ac:dyDescent="0.35">
      <c r="A1017" s="218" t="s">
        <v>3350</v>
      </c>
      <c r="B1017" s="3">
        <v>975</v>
      </c>
      <c r="C1017" s="65">
        <v>10158754</v>
      </c>
      <c r="D1017" s="8" t="s">
        <v>1421</v>
      </c>
      <c r="E1017" s="19" t="s">
        <v>2219</v>
      </c>
      <c r="F1017" s="92">
        <v>1</v>
      </c>
      <c r="G1017" s="3" t="s">
        <v>0</v>
      </c>
      <c r="H1017" s="40">
        <v>41579</v>
      </c>
      <c r="I1017" s="27" t="s">
        <v>984</v>
      </c>
      <c r="J1017" s="41" t="s">
        <v>1423</v>
      </c>
      <c r="K1017" s="4" t="s">
        <v>988</v>
      </c>
      <c r="L1017" s="29" t="s">
        <v>977</v>
      </c>
      <c r="M1017" s="78">
        <f t="shared" si="189"/>
        <v>368000</v>
      </c>
      <c r="N1017" s="78">
        <f t="shared" si="191"/>
        <v>368000</v>
      </c>
      <c r="O1017" s="78">
        <v>368000</v>
      </c>
      <c r="P1017" s="72">
        <v>554880</v>
      </c>
      <c r="Q1017" s="256">
        <f t="shared" si="192"/>
        <v>122073.60000000001</v>
      </c>
      <c r="R1017" s="256">
        <f t="shared" si="193"/>
        <v>676953.59999999998</v>
      </c>
      <c r="S1017" s="296"/>
      <c r="T1017" s="3">
        <v>39</v>
      </c>
      <c r="U1017" s="293"/>
    </row>
    <row r="1018" spans="1:21" ht="15" customHeight="1" x14ac:dyDescent="0.35">
      <c r="A1018" s="218"/>
      <c r="B1018" s="94"/>
      <c r="C1018" s="65"/>
      <c r="D1018" s="8"/>
      <c r="E1018" s="19"/>
      <c r="F1018" s="92"/>
      <c r="G1018" s="3"/>
      <c r="H1018" s="40"/>
      <c r="I1018" s="27"/>
      <c r="J1018" s="4"/>
      <c r="K1018" s="4"/>
      <c r="L1018" s="29"/>
      <c r="M1018" s="78"/>
      <c r="N1018" s="78"/>
      <c r="O1018" s="108">
        <f t="shared" ref="O1018:R1018" si="194">SUM(O1012:O1017)</f>
        <v>5839389.5300000003</v>
      </c>
      <c r="P1018" s="276">
        <f t="shared" si="194"/>
        <v>8854850</v>
      </c>
      <c r="Q1018" s="282">
        <f t="shared" si="194"/>
        <v>1948067</v>
      </c>
      <c r="R1018" s="282">
        <f t="shared" si="194"/>
        <v>10802917</v>
      </c>
      <c r="S1018" s="286">
        <f>R1018/100*10</f>
        <v>1080291.7</v>
      </c>
      <c r="T1018" s="104">
        <v>39</v>
      </c>
      <c r="U1018" s="304"/>
    </row>
    <row r="1019" spans="1:21" ht="26.5" customHeight="1" x14ac:dyDescent="0.35">
      <c r="A1019" s="218" t="s">
        <v>3351</v>
      </c>
      <c r="B1019" s="3">
        <v>976</v>
      </c>
      <c r="C1019" s="45">
        <v>10110104</v>
      </c>
      <c r="D1019" s="2" t="s">
        <v>612</v>
      </c>
      <c r="E1019" s="18" t="s">
        <v>709</v>
      </c>
      <c r="F1019" s="7">
        <v>5</v>
      </c>
      <c r="G1019" s="3" t="s">
        <v>0</v>
      </c>
      <c r="H1019" s="5">
        <v>42004</v>
      </c>
      <c r="I1019" s="30" t="s">
        <v>1003</v>
      </c>
      <c r="J1019" s="4" t="s">
        <v>1962</v>
      </c>
      <c r="K1019" s="14" t="s">
        <v>549</v>
      </c>
      <c r="L1019" s="3" t="s">
        <v>871</v>
      </c>
      <c r="M1019" s="72">
        <f t="shared" si="189"/>
        <v>1211591.1200000001</v>
      </c>
      <c r="N1019" s="72">
        <f t="shared" ref="N1019:N1023" si="195">O1019/F1019</f>
        <v>242318.22</v>
      </c>
      <c r="O1019" s="72">
        <v>1211591.1200000001</v>
      </c>
      <c r="P1019" s="72">
        <v>1261100</v>
      </c>
      <c r="Q1019" s="256">
        <f>R1019-P1019</f>
        <v>277442</v>
      </c>
      <c r="R1019" s="256">
        <f>P1019*1.22</f>
        <v>1538542</v>
      </c>
      <c r="S1019" s="289"/>
      <c r="T1019" s="3">
        <v>40</v>
      </c>
      <c r="U1019" s="292" t="s">
        <v>2324</v>
      </c>
    </row>
    <row r="1020" spans="1:21" ht="121.5" customHeight="1" x14ac:dyDescent="0.35">
      <c r="A1020" s="218" t="s">
        <v>3352</v>
      </c>
      <c r="B1020" s="3">
        <v>977</v>
      </c>
      <c r="C1020" s="45">
        <v>10142765</v>
      </c>
      <c r="D1020" s="2" t="s">
        <v>613</v>
      </c>
      <c r="E1020" s="18" t="s">
        <v>709</v>
      </c>
      <c r="F1020" s="7">
        <f>3-1-1</f>
        <v>1</v>
      </c>
      <c r="G1020" s="3" t="s">
        <v>0</v>
      </c>
      <c r="H1020" s="5">
        <v>42004</v>
      </c>
      <c r="I1020" s="30" t="s">
        <v>1003</v>
      </c>
      <c r="J1020" s="6" t="s">
        <v>1004</v>
      </c>
      <c r="K1020" s="14" t="s">
        <v>717</v>
      </c>
      <c r="L1020" s="3" t="s">
        <v>871</v>
      </c>
      <c r="M1020" s="72">
        <f t="shared" si="189"/>
        <v>110680.85</v>
      </c>
      <c r="N1020" s="72">
        <f t="shared" si="195"/>
        <v>110680.85</v>
      </c>
      <c r="O1020" s="72">
        <v>110680.85</v>
      </c>
      <c r="P1020" s="72">
        <v>105540</v>
      </c>
      <c r="Q1020" s="256">
        <f>R1020-P1020</f>
        <v>23218.799999999999</v>
      </c>
      <c r="R1020" s="256">
        <f>P1020*1.22</f>
        <v>128758.8</v>
      </c>
      <c r="S1020" s="296"/>
      <c r="T1020" s="3">
        <v>40</v>
      </c>
      <c r="U1020" s="293"/>
    </row>
    <row r="1021" spans="1:21" ht="15" customHeight="1" x14ac:dyDescent="0.35">
      <c r="A1021" s="218" t="s">
        <v>3353</v>
      </c>
      <c r="B1021" s="3">
        <v>978</v>
      </c>
      <c r="C1021" s="45">
        <v>102001031</v>
      </c>
      <c r="D1021" s="2" t="s">
        <v>614</v>
      </c>
      <c r="E1021" s="18" t="s">
        <v>710</v>
      </c>
      <c r="F1021" s="7">
        <f>4-1</f>
        <v>3</v>
      </c>
      <c r="G1021" s="3" t="s">
        <v>0</v>
      </c>
      <c r="H1021" s="5">
        <v>42004</v>
      </c>
      <c r="I1021" s="30" t="s">
        <v>1003</v>
      </c>
      <c r="J1021" s="4" t="s">
        <v>1962</v>
      </c>
      <c r="K1021" s="14" t="s">
        <v>719</v>
      </c>
      <c r="L1021" s="3" t="s">
        <v>871</v>
      </c>
      <c r="M1021" s="72">
        <f t="shared" si="189"/>
        <v>42840</v>
      </c>
      <c r="N1021" s="72">
        <f t="shared" si="195"/>
        <v>14280</v>
      </c>
      <c r="O1021" s="72">
        <f>57120/4*3</f>
        <v>42840</v>
      </c>
      <c r="P1021" s="72">
        <v>40850</v>
      </c>
      <c r="Q1021" s="256">
        <f>R1021-P1021</f>
        <v>8987</v>
      </c>
      <c r="R1021" s="256">
        <f>P1021*1.22</f>
        <v>49837</v>
      </c>
      <c r="S1021" s="296"/>
      <c r="T1021" s="3">
        <v>40</v>
      </c>
      <c r="U1021" s="293"/>
    </row>
    <row r="1022" spans="1:21" ht="15" customHeight="1" x14ac:dyDescent="0.35">
      <c r="A1022" s="218" t="s">
        <v>3354</v>
      </c>
      <c r="B1022" s="3">
        <v>979</v>
      </c>
      <c r="C1022" s="44">
        <v>10141883</v>
      </c>
      <c r="D1022" s="18" t="s">
        <v>276</v>
      </c>
      <c r="E1022" s="19" t="s">
        <v>2234</v>
      </c>
      <c r="F1022" s="12">
        <v>1</v>
      </c>
      <c r="G1022" s="3" t="s">
        <v>0</v>
      </c>
      <c r="H1022" s="49" t="s">
        <v>2195</v>
      </c>
      <c r="I1022" s="5" t="s">
        <v>1003</v>
      </c>
      <c r="J1022" s="4" t="s">
        <v>1962</v>
      </c>
      <c r="K1022" s="5" t="s">
        <v>988</v>
      </c>
      <c r="L1022" s="29" t="s">
        <v>2143</v>
      </c>
      <c r="M1022" s="78">
        <f t="shared" si="189"/>
        <v>65347.54</v>
      </c>
      <c r="N1022" s="78">
        <f t="shared" si="195"/>
        <v>65347.54</v>
      </c>
      <c r="O1022" s="78">
        <v>65347.54</v>
      </c>
      <c r="P1022" s="72">
        <v>70150</v>
      </c>
      <c r="Q1022" s="256">
        <f>R1022-P1022</f>
        <v>15433</v>
      </c>
      <c r="R1022" s="256">
        <f>P1022*1.22</f>
        <v>85583</v>
      </c>
      <c r="S1022" s="296"/>
      <c r="T1022" s="3">
        <v>40</v>
      </c>
      <c r="U1022" s="293"/>
    </row>
    <row r="1023" spans="1:21" ht="15" customHeight="1" x14ac:dyDescent="0.35">
      <c r="A1023" s="218" t="s">
        <v>3355</v>
      </c>
      <c r="B1023" s="3">
        <v>980</v>
      </c>
      <c r="C1023" s="44">
        <v>10142830</v>
      </c>
      <c r="D1023" s="18" t="s">
        <v>277</v>
      </c>
      <c r="E1023" s="19" t="s">
        <v>2234</v>
      </c>
      <c r="F1023" s="12">
        <v>1</v>
      </c>
      <c r="G1023" s="3" t="s">
        <v>0</v>
      </c>
      <c r="H1023" s="49" t="s">
        <v>2195</v>
      </c>
      <c r="I1023" s="5" t="s">
        <v>1003</v>
      </c>
      <c r="J1023" s="4" t="s">
        <v>1962</v>
      </c>
      <c r="K1023" s="5" t="s">
        <v>988</v>
      </c>
      <c r="L1023" s="29" t="s">
        <v>2143</v>
      </c>
      <c r="M1023" s="78">
        <f t="shared" si="189"/>
        <v>48862.77</v>
      </c>
      <c r="N1023" s="78">
        <f t="shared" si="195"/>
        <v>48862.77</v>
      </c>
      <c r="O1023" s="78">
        <v>48862.77</v>
      </c>
      <c r="P1023" s="72">
        <v>52460</v>
      </c>
      <c r="Q1023" s="256">
        <f>R1023-P1023</f>
        <v>11541.2</v>
      </c>
      <c r="R1023" s="256">
        <f>P1023*1.22</f>
        <v>64001.2</v>
      </c>
      <c r="S1023" s="297"/>
      <c r="T1023" s="3">
        <v>40</v>
      </c>
      <c r="U1023" s="293"/>
    </row>
    <row r="1024" spans="1:21" ht="15" customHeight="1" x14ac:dyDescent="0.35">
      <c r="A1024" s="218"/>
      <c r="B1024" s="94"/>
      <c r="C1024" s="44"/>
      <c r="D1024" s="18"/>
      <c r="E1024" s="19"/>
      <c r="F1024" s="12"/>
      <c r="G1024" s="3"/>
      <c r="H1024" s="49"/>
      <c r="I1024" s="5"/>
      <c r="J1024" s="4"/>
      <c r="K1024" s="5"/>
      <c r="L1024" s="29"/>
      <c r="M1024" s="78"/>
      <c r="N1024" s="78"/>
      <c r="O1024" s="201">
        <f t="shared" ref="O1024:R1024" si="196">SUM(O1019:O1023)</f>
        <v>1479322.28</v>
      </c>
      <c r="P1024" s="276">
        <f t="shared" si="196"/>
        <v>1530100</v>
      </c>
      <c r="Q1024" s="282">
        <f t="shared" si="196"/>
        <v>336622</v>
      </c>
      <c r="R1024" s="282">
        <f t="shared" si="196"/>
        <v>1866722</v>
      </c>
      <c r="S1024" s="286">
        <f>R1024/100*10</f>
        <v>186672.2</v>
      </c>
      <c r="T1024" s="104">
        <v>40</v>
      </c>
      <c r="U1024" s="304"/>
    </row>
    <row r="1025" spans="1:21" ht="29.5" customHeight="1" x14ac:dyDescent="0.35">
      <c r="A1025" s="218" t="s">
        <v>3356</v>
      </c>
      <c r="B1025" s="3">
        <v>981</v>
      </c>
      <c r="C1025" s="44">
        <v>102003298</v>
      </c>
      <c r="D1025" s="18" t="s">
        <v>1472</v>
      </c>
      <c r="E1025" s="19" t="s">
        <v>2219</v>
      </c>
      <c r="F1025" s="12">
        <v>1</v>
      </c>
      <c r="G1025" s="3" t="s">
        <v>0</v>
      </c>
      <c r="H1025" s="39">
        <v>42150</v>
      </c>
      <c r="I1025" s="27" t="s">
        <v>984</v>
      </c>
      <c r="J1025" s="4" t="s">
        <v>2289</v>
      </c>
      <c r="K1025" s="4" t="s">
        <v>988</v>
      </c>
      <c r="L1025" s="29" t="s">
        <v>977</v>
      </c>
      <c r="M1025" s="78">
        <f t="shared" si="189"/>
        <v>15249.3</v>
      </c>
      <c r="N1025" s="78">
        <f>O1025/F1025</f>
        <v>15249.3</v>
      </c>
      <c r="O1025" s="78">
        <v>15249.3</v>
      </c>
      <c r="P1025" s="72">
        <v>24880</v>
      </c>
      <c r="Q1025" s="256">
        <f>R1025-P1025</f>
        <v>5473.6</v>
      </c>
      <c r="R1025" s="256">
        <f>P1025*1.22</f>
        <v>30353.599999999999</v>
      </c>
      <c r="S1025" s="289"/>
      <c r="T1025" s="3">
        <v>41</v>
      </c>
      <c r="U1025" s="292" t="s">
        <v>2325</v>
      </c>
    </row>
    <row r="1026" spans="1:21" ht="15" customHeight="1" x14ac:dyDescent="0.35">
      <c r="A1026" s="218" t="s">
        <v>3357</v>
      </c>
      <c r="B1026" s="3">
        <v>982</v>
      </c>
      <c r="C1026" s="44">
        <v>102003295</v>
      </c>
      <c r="D1026" s="18" t="s">
        <v>1473</v>
      </c>
      <c r="E1026" s="19" t="s">
        <v>2219</v>
      </c>
      <c r="F1026" s="12">
        <v>1</v>
      </c>
      <c r="G1026" s="3" t="s">
        <v>0</v>
      </c>
      <c r="H1026" s="39">
        <v>42150</v>
      </c>
      <c r="I1026" s="27" t="s">
        <v>984</v>
      </c>
      <c r="J1026" s="4" t="s">
        <v>2296</v>
      </c>
      <c r="K1026" s="4" t="s">
        <v>988</v>
      </c>
      <c r="L1026" s="29" t="s">
        <v>977</v>
      </c>
      <c r="M1026" s="78">
        <f t="shared" si="189"/>
        <v>13399.9</v>
      </c>
      <c r="N1026" s="78">
        <f>O1026/F1026</f>
        <v>13399.9</v>
      </c>
      <c r="O1026" s="78">
        <v>13399.9</v>
      </c>
      <c r="P1026" s="72">
        <v>21860</v>
      </c>
      <c r="Q1026" s="256">
        <f>R1026-P1026</f>
        <v>4809.2</v>
      </c>
      <c r="R1026" s="256">
        <f>P1026*1.22</f>
        <v>26669.200000000001</v>
      </c>
      <c r="S1026" s="296"/>
      <c r="T1026" s="3">
        <v>41</v>
      </c>
      <c r="U1026" s="293"/>
    </row>
    <row r="1027" spans="1:21" ht="15" customHeight="1" x14ac:dyDescent="0.35">
      <c r="A1027" s="218" t="s">
        <v>3358</v>
      </c>
      <c r="B1027" s="3">
        <v>983</v>
      </c>
      <c r="C1027" s="44">
        <v>102003296</v>
      </c>
      <c r="D1027" s="18" t="s">
        <v>1474</v>
      </c>
      <c r="E1027" s="19" t="s">
        <v>2219</v>
      </c>
      <c r="F1027" s="12">
        <v>1</v>
      </c>
      <c r="G1027" s="3" t="s">
        <v>0</v>
      </c>
      <c r="H1027" s="39">
        <v>42150</v>
      </c>
      <c r="I1027" s="27" t="s">
        <v>984</v>
      </c>
      <c r="J1027" s="4" t="s">
        <v>2290</v>
      </c>
      <c r="K1027" s="4" t="s">
        <v>988</v>
      </c>
      <c r="L1027" s="29" t="s">
        <v>977</v>
      </c>
      <c r="M1027" s="78">
        <f t="shared" si="189"/>
        <v>17629.439999999999</v>
      </c>
      <c r="N1027" s="78">
        <f>O1027/F1027</f>
        <v>17629.439999999999</v>
      </c>
      <c r="O1027" s="78">
        <v>17629.439999999999</v>
      </c>
      <c r="P1027" s="72">
        <v>28760</v>
      </c>
      <c r="Q1027" s="256">
        <f>R1027-P1027</f>
        <v>6327.2</v>
      </c>
      <c r="R1027" s="256">
        <f>P1027*1.22</f>
        <v>35087.199999999997</v>
      </c>
      <c r="S1027" s="296"/>
      <c r="T1027" s="3">
        <v>41</v>
      </c>
      <c r="U1027" s="293"/>
    </row>
    <row r="1028" spans="1:21" ht="15" customHeight="1" x14ac:dyDescent="0.35">
      <c r="A1028" s="218" t="s">
        <v>3359</v>
      </c>
      <c r="B1028" s="3">
        <v>984</v>
      </c>
      <c r="C1028" s="44">
        <v>102003299</v>
      </c>
      <c r="D1028" s="18" t="s">
        <v>1475</v>
      </c>
      <c r="E1028" s="19" t="s">
        <v>2219</v>
      </c>
      <c r="F1028" s="12">
        <v>1</v>
      </c>
      <c r="G1028" s="3" t="s">
        <v>0</v>
      </c>
      <c r="H1028" s="39">
        <v>42150</v>
      </c>
      <c r="I1028" s="27" t="s">
        <v>984</v>
      </c>
      <c r="J1028" s="4" t="s">
        <v>1962</v>
      </c>
      <c r="K1028" s="4" t="s">
        <v>988</v>
      </c>
      <c r="L1028" s="29" t="s">
        <v>977</v>
      </c>
      <c r="M1028" s="78">
        <f t="shared" si="189"/>
        <v>10528.6</v>
      </c>
      <c r="N1028" s="78">
        <f>O1028/F1028</f>
        <v>10528.6</v>
      </c>
      <c r="O1028" s="78">
        <v>10528.6</v>
      </c>
      <c r="P1028" s="72">
        <v>17170</v>
      </c>
      <c r="Q1028" s="256">
        <f>R1028-P1028</f>
        <v>3777.4</v>
      </c>
      <c r="R1028" s="256">
        <f>P1028*1.22</f>
        <v>20947.400000000001</v>
      </c>
      <c r="S1028" s="296"/>
      <c r="T1028" s="3">
        <v>41</v>
      </c>
      <c r="U1028" s="293"/>
    </row>
    <row r="1029" spans="1:21" ht="15" customHeight="1" x14ac:dyDescent="0.35">
      <c r="A1029" s="218" t="s">
        <v>3360</v>
      </c>
      <c r="B1029" s="3">
        <v>985</v>
      </c>
      <c r="C1029" s="44">
        <v>102003322</v>
      </c>
      <c r="D1029" s="18" t="s">
        <v>1476</v>
      </c>
      <c r="E1029" s="19" t="s">
        <v>2219</v>
      </c>
      <c r="F1029" s="12">
        <v>1</v>
      </c>
      <c r="G1029" s="3" t="s">
        <v>0</v>
      </c>
      <c r="H1029" s="39">
        <v>42145</v>
      </c>
      <c r="I1029" s="27" t="s">
        <v>984</v>
      </c>
      <c r="J1029" s="4" t="s">
        <v>2295</v>
      </c>
      <c r="K1029" s="4" t="s">
        <v>988</v>
      </c>
      <c r="L1029" s="29" t="s">
        <v>977</v>
      </c>
      <c r="M1029" s="78">
        <f t="shared" si="189"/>
        <v>25530.880000000001</v>
      </c>
      <c r="N1029" s="78">
        <f>O1029/F1029</f>
        <v>25530.880000000001</v>
      </c>
      <c r="O1029" s="78">
        <v>25530.880000000001</v>
      </c>
      <c r="P1029" s="72">
        <v>41650</v>
      </c>
      <c r="Q1029" s="256">
        <f>R1029-P1029</f>
        <v>9163</v>
      </c>
      <c r="R1029" s="256">
        <f>P1029*1.22</f>
        <v>50813</v>
      </c>
      <c r="S1029" s="297"/>
      <c r="T1029" s="3">
        <v>41</v>
      </c>
      <c r="U1029" s="293"/>
    </row>
    <row r="1030" spans="1:21" ht="15" customHeight="1" x14ac:dyDescent="0.35">
      <c r="A1030" s="218"/>
      <c r="B1030" s="94"/>
      <c r="C1030" s="44"/>
      <c r="D1030" s="18"/>
      <c r="E1030" s="18"/>
      <c r="F1030" s="12"/>
      <c r="G1030" s="3"/>
      <c r="H1030" s="39"/>
      <c r="I1030" s="27"/>
      <c r="J1030" s="4"/>
      <c r="K1030" s="4"/>
      <c r="L1030" s="29"/>
      <c r="M1030" s="78"/>
      <c r="N1030" s="78"/>
      <c r="O1030" s="108">
        <f>SUM(O1025:O1029)</f>
        <v>82338.12</v>
      </c>
      <c r="P1030" s="276">
        <f t="shared" ref="P1030:Q1030" si="197">SUM(P1025:P1029)</f>
        <v>134320</v>
      </c>
      <c r="Q1030" s="282">
        <f t="shared" si="197"/>
        <v>29550.400000000001</v>
      </c>
      <c r="R1030" s="282">
        <f>SUM(R1025:R1029)</f>
        <v>163870.39999999999</v>
      </c>
      <c r="S1030" s="286">
        <f>R1030/100*10</f>
        <v>16387.04</v>
      </c>
      <c r="T1030" s="104">
        <v>41</v>
      </c>
      <c r="U1030" s="304"/>
    </row>
    <row r="1031" spans="1:21" ht="15" customHeight="1" x14ac:dyDescent="0.35">
      <c r="A1031" s="218" t="s">
        <v>3361</v>
      </c>
      <c r="B1031" s="3">
        <v>986</v>
      </c>
      <c r="C1031" s="44">
        <v>102003023</v>
      </c>
      <c r="D1031" s="70" t="s">
        <v>542</v>
      </c>
      <c r="E1031" s="18" t="s">
        <v>2222</v>
      </c>
      <c r="F1031" s="12">
        <v>2</v>
      </c>
      <c r="G1031" s="12" t="s">
        <v>0</v>
      </c>
      <c r="H1031" s="42">
        <v>42558</v>
      </c>
      <c r="I1031" s="5" t="s">
        <v>989</v>
      </c>
      <c r="J1031" s="4" t="s">
        <v>1962</v>
      </c>
      <c r="K1031" s="42" t="s">
        <v>996</v>
      </c>
      <c r="L1031" s="5" t="s">
        <v>977</v>
      </c>
      <c r="M1031" s="72">
        <f t="shared" si="189"/>
        <v>37449.980000000003</v>
      </c>
      <c r="N1031" s="72">
        <f t="shared" ref="N1031:N1042" si="198">O1031/F1031</f>
        <v>18724.990000000002</v>
      </c>
      <c r="O1031" s="72">
        <v>37449.980000000003</v>
      </c>
      <c r="P1031" s="72">
        <v>35470</v>
      </c>
      <c r="Q1031" s="256">
        <f t="shared" ref="Q1031:Q1042" si="199">R1031-P1031</f>
        <v>7803.4</v>
      </c>
      <c r="R1031" s="256">
        <f t="shared" ref="R1031:R1042" si="200">P1031*1.22</f>
        <v>43273.4</v>
      </c>
      <c r="S1031" s="289"/>
      <c r="T1031" s="3">
        <v>42</v>
      </c>
      <c r="U1031" s="292" t="s">
        <v>2362</v>
      </c>
    </row>
    <row r="1032" spans="1:21" ht="15" customHeight="1" x14ac:dyDescent="0.35">
      <c r="A1032" s="218" t="s">
        <v>3362</v>
      </c>
      <c r="B1032" s="3">
        <v>987</v>
      </c>
      <c r="C1032" s="44">
        <v>102003195</v>
      </c>
      <c r="D1032" s="70" t="s">
        <v>543</v>
      </c>
      <c r="E1032" s="18" t="s">
        <v>2222</v>
      </c>
      <c r="F1032" s="12">
        <v>1</v>
      </c>
      <c r="G1032" s="12" t="s">
        <v>0</v>
      </c>
      <c r="H1032" s="42">
        <v>42558</v>
      </c>
      <c r="I1032" s="5" t="s">
        <v>989</v>
      </c>
      <c r="J1032" s="4" t="s">
        <v>1962</v>
      </c>
      <c r="K1032" s="42" t="s">
        <v>990</v>
      </c>
      <c r="L1032" s="5" t="s">
        <v>977</v>
      </c>
      <c r="M1032" s="72">
        <f t="shared" si="189"/>
        <v>69824.7</v>
      </c>
      <c r="N1032" s="72">
        <f t="shared" si="198"/>
        <v>69824.7</v>
      </c>
      <c r="O1032" s="72">
        <v>69824.7</v>
      </c>
      <c r="P1032" s="72">
        <v>52080</v>
      </c>
      <c r="Q1032" s="256">
        <f t="shared" si="199"/>
        <v>11457.6</v>
      </c>
      <c r="R1032" s="256">
        <f t="shared" si="200"/>
        <v>63537.599999999999</v>
      </c>
      <c r="S1032" s="296"/>
      <c r="T1032" s="3">
        <v>42</v>
      </c>
      <c r="U1032" s="293"/>
    </row>
    <row r="1033" spans="1:21" ht="15" customHeight="1" x14ac:dyDescent="0.35">
      <c r="A1033" s="218" t="s">
        <v>3363</v>
      </c>
      <c r="B1033" s="3">
        <v>988</v>
      </c>
      <c r="C1033" s="44">
        <v>102003186</v>
      </c>
      <c r="D1033" s="70" t="s">
        <v>544</v>
      </c>
      <c r="E1033" s="18" t="s">
        <v>2222</v>
      </c>
      <c r="F1033" s="12">
        <v>1</v>
      </c>
      <c r="G1033" s="12" t="s">
        <v>0</v>
      </c>
      <c r="H1033" s="42">
        <v>42558</v>
      </c>
      <c r="I1033" s="5" t="s">
        <v>989</v>
      </c>
      <c r="J1033" s="4" t="s">
        <v>1962</v>
      </c>
      <c r="K1033" s="42" t="s">
        <v>991</v>
      </c>
      <c r="L1033" s="5" t="s">
        <v>977</v>
      </c>
      <c r="M1033" s="72">
        <f t="shared" si="189"/>
        <v>74403.360000000001</v>
      </c>
      <c r="N1033" s="72">
        <f t="shared" si="198"/>
        <v>74403.360000000001</v>
      </c>
      <c r="O1033" s="72">
        <v>74403.360000000001</v>
      </c>
      <c r="P1033" s="72">
        <v>55490</v>
      </c>
      <c r="Q1033" s="256">
        <f t="shared" si="199"/>
        <v>12207.8</v>
      </c>
      <c r="R1033" s="256">
        <f t="shared" si="200"/>
        <v>67697.8</v>
      </c>
      <c r="S1033" s="296"/>
      <c r="T1033" s="3">
        <v>42</v>
      </c>
      <c r="U1033" s="293"/>
    </row>
    <row r="1034" spans="1:21" ht="15" customHeight="1" x14ac:dyDescent="0.35">
      <c r="A1034" s="218" t="s">
        <v>3364</v>
      </c>
      <c r="B1034" s="3">
        <v>989</v>
      </c>
      <c r="C1034" s="44">
        <v>102003193</v>
      </c>
      <c r="D1034" s="70" t="s">
        <v>545</v>
      </c>
      <c r="E1034" s="18" t="s">
        <v>2222</v>
      </c>
      <c r="F1034" s="12">
        <v>1</v>
      </c>
      <c r="G1034" s="12" t="s">
        <v>0</v>
      </c>
      <c r="H1034" s="42">
        <v>42558</v>
      </c>
      <c r="I1034" s="5" t="s">
        <v>989</v>
      </c>
      <c r="J1034" s="4" t="s">
        <v>1962</v>
      </c>
      <c r="K1034" s="42" t="s">
        <v>992</v>
      </c>
      <c r="L1034" s="5" t="s">
        <v>977</v>
      </c>
      <c r="M1034" s="72">
        <f t="shared" si="189"/>
        <v>57233.36</v>
      </c>
      <c r="N1034" s="72">
        <f t="shared" si="198"/>
        <v>57233.36</v>
      </c>
      <c r="O1034" s="72">
        <v>57233.36</v>
      </c>
      <c r="P1034" s="72">
        <v>42690</v>
      </c>
      <c r="Q1034" s="256">
        <f t="shared" si="199"/>
        <v>9391.7999999999993</v>
      </c>
      <c r="R1034" s="256">
        <f t="shared" si="200"/>
        <v>52081.8</v>
      </c>
      <c r="S1034" s="296"/>
      <c r="T1034" s="3">
        <v>42</v>
      </c>
      <c r="U1034" s="293"/>
    </row>
    <row r="1035" spans="1:21" ht="18" customHeight="1" x14ac:dyDescent="0.35">
      <c r="A1035" s="218" t="s">
        <v>3365</v>
      </c>
      <c r="B1035" s="3">
        <v>990</v>
      </c>
      <c r="C1035" s="44">
        <v>102003025</v>
      </c>
      <c r="D1035" s="70" t="s">
        <v>546</v>
      </c>
      <c r="E1035" s="18" t="s">
        <v>2222</v>
      </c>
      <c r="F1035" s="12">
        <v>1</v>
      </c>
      <c r="G1035" s="12" t="s">
        <v>0</v>
      </c>
      <c r="H1035" s="42">
        <v>42558</v>
      </c>
      <c r="I1035" s="5" t="s">
        <v>989</v>
      </c>
      <c r="J1035" s="4" t="s">
        <v>1962</v>
      </c>
      <c r="K1035" s="42" t="s">
        <v>993</v>
      </c>
      <c r="L1035" s="5" t="s">
        <v>977</v>
      </c>
      <c r="M1035" s="72">
        <f t="shared" si="189"/>
        <v>60412.01</v>
      </c>
      <c r="N1035" s="72">
        <f t="shared" si="198"/>
        <v>60412.01</v>
      </c>
      <c r="O1035" s="72">
        <v>60412.01</v>
      </c>
      <c r="P1035" s="72">
        <v>45060</v>
      </c>
      <c r="Q1035" s="256">
        <f t="shared" si="199"/>
        <v>9913.2000000000007</v>
      </c>
      <c r="R1035" s="256">
        <f t="shared" si="200"/>
        <v>54973.2</v>
      </c>
      <c r="S1035" s="296"/>
      <c r="T1035" s="3">
        <v>42</v>
      </c>
      <c r="U1035" s="293"/>
    </row>
    <row r="1036" spans="1:21" ht="30" customHeight="1" x14ac:dyDescent="0.35">
      <c r="A1036" s="218" t="s">
        <v>3366</v>
      </c>
      <c r="B1036" s="3">
        <v>991</v>
      </c>
      <c r="C1036" s="44">
        <v>102003194</v>
      </c>
      <c r="D1036" s="70" t="s">
        <v>547</v>
      </c>
      <c r="E1036" s="18" t="s">
        <v>2222</v>
      </c>
      <c r="F1036" s="12">
        <v>1</v>
      </c>
      <c r="G1036" s="12" t="s">
        <v>0</v>
      </c>
      <c r="H1036" s="42">
        <v>42558</v>
      </c>
      <c r="I1036" s="5" t="s">
        <v>989</v>
      </c>
      <c r="J1036" s="4" t="s">
        <v>1962</v>
      </c>
      <c r="K1036" s="42" t="s">
        <v>994</v>
      </c>
      <c r="L1036" s="5" t="s">
        <v>977</v>
      </c>
      <c r="M1036" s="72">
        <f t="shared" si="189"/>
        <v>219679.23</v>
      </c>
      <c r="N1036" s="72">
        <f t="shared" si="198"/>
        <v>219679.23</v>
      </c>
      <c r="O1036" s="72">
        <v>219679.23</v>
      </c>
      <c r="P1036" s="72">
        <v>123150</v>
      </c>
      <c r="Q1036" s="256">
        <f t="shared" si="199"/>
        <v>27093</v>
      </c>
      <c r="R1036" s="256">
        <f t="shared" si="200"/>
        <v>150243</v>
      </c>
      <c r="S1036" s="296"/>
      <c r="T1036" s="3">
        <v>42</v>
      </c>
      <c r="U1036" s="293"/>
    </row>
    <row r="1037" spans="1:21" ht="30" customHeight="1" x14ac:dyDescent="0.35">
      <c r="A1037" s="218" t="s">
        <v>3367</v>
      </c>
      <c r="B1037" s="3">
        <v>992</v>
      </c>
      <c r="C1037" s="44">
        <v>10117813</v>
      </c>
      <c r="D1037" s="18" t="s">
        <v>1541</v>
      </c>
      <c r="E1037" s="18" t="s">
        <v>2027</v>
      </c>
      <c r="F1037" s="12">
        <v>304</v>
      </c>
      <c r="G1037" s="3" t="s">
        <v>0</v>
      </c>
      <c r="H1037" s="39">
        <v>40179</v>
      </c>
      <c r="I1037" s="27" t="s">
        <v>984</v>
      </c>
      <c r="J1037" s="4" t="s">
        <v>1962</v>
      </c>
      <c r="K1037" s="4" t="s">
        <v>988</v>
      </c>
      <c r="L1037" s="29" t="s">
        <v>977</v>
      </c>
      <c r="M1037" s="78">
        <f t="shared" si="189"/>
        <v>457340.64</v>
      </c>
      <c r="N1037" s="78">
        <f t="shared" si="198"/>
        <v>1504.41</v>
      </c>
      <c r="O1037" s="78">
        <v>457340.64</v>
      </c>
      <c r="P1037" s="72">
        <v>704090</v>
      </c>
      <c r="Q1037" s="256">
        <f t="shared" si="199"/>
        <v>154899.79999999999</v>
      </c>
      <c r="R1037" s="256">
        <f t="shared" si="200"/>
        <v>858989.8</v>
      </c>
      <c r="S1037" s="296"/>
      <c r="T1037" s="3">
        <v>42</v>
      </c>
      <c r="U1037" s="293"/>
    </row>
    <row r="1038" spans="1:21" ht="39" customHeight="1" x14ac:dyDescent="0.35">
      <c r="A1038" s="218" t="s">
        <v>3368</v>
      </c>
      <c r="B1038" s="3">
        <v>993</v>
      </c>
      <c r="C1038" s="44">
        <v>10112726</v>
      </c>
      <c r="D1038" s="18" t="s">
        <v>1692</v>
      </c>
      <c r="E1038" s="18" t="s">
        <v>2027</v>
      </c>
      <c r="F1038" s="12">
        <v>1</v>
      </c>
      <c r="G1038" s="3" t="s">
        <v>0</v>
      </c>
      <c r="H1038" s="39">
        <v>40891</v>
      </c>
      <c r="I1038" s="27" t="s">
        <v>984</v>
      </c>
      <c r="J1038" s="4" t="s">
        <v>1962</v>
      </c>
      <c r="K1038" s="4" t="s">
        <v>988</v>
      </c>
      <c r="L1038" s="29" t="s">
        <v>977</v>
      </c>
      <c r="M1038" s="78">
        <f t="shared" si="189"/>
        <v>1216.0999999999999</v>
      </c>
      <c r="N1038" s="78">
        <f t="shared" si="198"/>
        <v>1216.0999999999999</v>
      </c>
      <c r="O1038" s="78">
        <v>1216.0999999999999</v>
      </c>
      <c r="P1038" s="72">
        <v>1940</v>
      </c>
      <c r="Q1038" s="256">
        <f t="shared" si="199"/>
        <v>426.8</v>
      </c>
      <c r="R1038" s="256">
        <f t="shared" si="200"/>
        <v>2366.8000000000002</v>
      </c>
      <c r="S1038" s="296"/>
      <c r="T1038" s="3">
        <v>42</v>
      </c>
      <c r="U1038" s="293"/>
    </row>
    <row r="1039" spans="1:21" ht="30" customHeight="1" x14ac:dyDescent="0.35">
      <c r="A1039" s="218" t="s">
        <v>3369</v>
      </c>
      <c r="B1039" s="3">
        <v>994</v>
      </c>
      <c r="C1039" s="44">
        <v>10004920</v>
      </c>
      <c r="D1039" s="18" t="s">
        <v>1702</v>
      </c>
      <c r="E1039" s="18" t="s">
        <v>2027</v>
      </c>
      <c r="F1039" s="12">
        <v>4</v>
      </c>
      <c r="G1039" s="3" t="s">
        <v>0</v>
      </c>
      <c r="H1039" s="39">
        <v>41052</v>
      </c>
      <c r="I1039" s="27" t="s">
        <v>984</v>
      </c>
      <c r="J1039" s="4" t="s">
        <v>1962</v>
      </c>
      <c r="K1039" s="4" t="s">
        <v>988</v>
      </c>
      <c r="L1039" s="29" t="s">
        <v>977</v>
      </c>
      <c r="M1039" s="78">
        <f t="shared" si="189"/>
        <v>368.56</v>
      </c>
      <c r="N1039" s="78">
        <f t="shared" si="198"/>
        <v>92.14</v>
      </c>
      <c r="O1039" s="78">
        <v>368.56</v>
      </c>
      <c r="P1039" s="72">
        <v>580</v>
      </c>
      <c r="Q1039" s="256">
        <f t="shared" si="199"/>
        <v>127.6</v>
      </c>
      <c r="R1039" s="256">
        <f t="shared" si="200"/>
        <v>707.6</v>
      </c>
      <c r="S1039" s="296"/>
      <c r="T1039" s="3">
        <v>42</v>
      </c>
      <c r="U1039" s="293"/>
    </row>
    <row r="1040" spans="1:21" ht="30" customHeight="1" x14ac:dyDescent="0.35">
      <c r="A1040" s="218" t="s">
        <v>3370</v>
      </c>
      <c r="B1040" s="3">
        <v>995</v>
      </c>
      <c r="C1040" s="44">
        <v>10038418</v>
      </c>
      <c r="D1040" s="18" t="s">
        <v>1859</v>
      </c>
      <c r="E1040" s="18" t="s">
        <v>2219</v>
      </c>
      <c r="F1040" s="12">
        <f>0.124-0.03</f>
        <v>9.4E-2</v>
      </c>
      <c r="G1040" s="3" t="s">
        <v>3</v>
      </c>
      <c r="H1040" s="39">
        <v>41621</v>
      </c>
      <c r="I1040" s="27" t="s">
        <v>984</v>
      </c>
      <c r="J1040" s="4" t="s">
        <v>1962</v>
      </c>
      <c r="K1040" s="4" t="s">
        <v>988</v>
      </c>
      <c r="L1040" s="29" t="s">
        <v>977</v>
      </c>
      <c r="M1040" s="78">
        <f t="shared" si="189"/>
        <v>2254.2600000000002</v>
      </c>
      <c r="N1040" s="78">
        <f t="shared" si="198"/>
        <v>23981.49</v>
      </c>
      <c r="O1040" s="78">
        <f>2973.71/0.124*0.094</f>
        <v>2254.2600000000002</v>
      </c>
      <c r="P1040" s="72">
        <v>2770</v>
      </c>
      <c r="Q1040" s="256">
        <f t="shared" si="199"/>
        <v>609.4</v>
      </c>
      <c r="R1040" s="256">
        <f t="shared" si="200"/>
        <v>3379.4</v>
      </c>
      <c r="S1040" s="296"/>
      <c r="T1040" s="3">
        <v>42</v>
      </c>
      <c r="U1040" s="293"/>
    </row>
    <row r="1041" spans="1:21" ht="30" customHeight="1" x14ac:dyDescent="0.35">
      <c r="A1041" s="218" t="s">
        <v>3371</v>
      </c>
      <c r="B1041" s="3">
        <v>996</v>
      </c>
      <c r="C1041" s="65">
        <v>10140608</v>
      </c>
      <c r="D1041" s="8" t="s">
        <v>1399</v>
      </c>
      <c r="E1041" s="19" t="s">
        <v>2219</v>
      </c>
      <c r="F1041" s="92">
        <v>35</v>
      </c>
      <c r="G1041" s="3" t="s">
        <v>0</v>
      </c>
      <c r="H1041" s="40">
        <v>41214</v>
      </c>
      <c r="I1041" s="27" t="s">
        <v>984</v>
      </c>
      <c r="J1041" s="4" t="s">
        <v>1962</v>
      </c>
      <c r="K1041" s="4" t="s">
        <v>988</v>
      </c>
      <c r="L1041" s="29" t="s">
        <v>977</v>
      </c>
      <c r="M1041" s="78">
        <f t="shared" si="189"/>
        <v>17185</v>
      </c>
      <c r="N1041" s="78">
        <f t="shared" si="198"/>
        <v>491</v>
      </c>
      <c r="O1041" s="78">
        <v>17185</v>
      </c>
      <c r="P1041" s="72">
        <v>26770</v>
      </c>
      <c r="Q1041" s="256">
        <f t="shared" si="199"/>
        <v>5889.4</v>
      </c>
      <c r="R1041" s="256">
        <f t="shared" si="200"/>
        <v>32659.4</v>
      </c>
      <c r="S1041" s="296"/>
      <c r="T1041" s="3">
        <v>42</v>
      </c>
      <c r="U1041" s="293"/>
    </row>
    <row r="1042" spans="1:21" ht="15" customHeight="1" x14ac:dyDescent="0.35">
      <c r="A1042" s="218" t="s">
        <v>3372</v>
      </c>
      <c r="B1042" s="3">
        <v>997</v>
      </c>
      <c r="C1042" s="65">
        <v>10140568</v>
      </c>
      <c r="D1042" s="8" t="s">
        <v>1400</v>
      </c>
      <c r="E1042" s="19" t="s">
        <v>2219</v>
      </c>
      <c r="F1042" s="92">
        <v>30</v>
      </c>
      <c r="G1042" s="3" t="s">
        <v>0</v>
      </c>
      <c r="H1042" s="40">
        <v>41214</v>
      </c>
      <c r="I1042" s="27" t="s">
        <v>984</v>
      </c>
      <c r="J1042" s="4" t="s">
        <v>1962</v>
      </c>
      <c r="K1042" s="4" t="s">
        <v>988</v>
      </c>
      <c r="L1042" s="29" t="s">
        <v>977</v>
      </c>
      <c r="M1042" s="78">
        <f t="shared" si="189"/>
        <v>2297.96</v>
      </c>
      <c r="N1042" s="78">
        <f t="shared" si="198"/>
        <v>76.599999999999994</v>
      </c>
      <c r="O1042" s="78">
        <v>2297.96</v>
      </c>
      <c r="P1042" s="72">
        <v>3580</v>
      </c>
      <c r="Q1042" s="256">
        <f t="shared" si="199"/>
        <v>787.6</v>
      </c>
      <c r="R1042" s="256">
        <f t="shared" si="200"/>
        <v>4367.6000000000004</v>
      </c>
      <c r="S1042" s="297"/>
      <c r="T1042" s="3">
        <v>42</v>
      </c>
      <c r="U1042" s="293"/>
    </row>
    <row r="1043" spans="1:21" ht="15" customHeight="1" x14ac:dyDescent="0.35">
      <c r="A1043" s="218"/>
      <c r="B1043" s="94"/>
      <c r="C1043" s="65"/>
      <c r="D1043" s="8"/>
      <c r="E1043" s="19"/>
      <c r="F1043" s="92"/>
      <c r="G1043" s="3"/>
      <c r="H1043" s="40"/>
      <c r="I1043" s="27"/>
      <c r="J1043" s="4"/>
      <c r="K1043" s="4"/>
      <c r="L1043" s="29"/>
      <c r="M1043" s="78"/>
      <c r="N1043" s="78"/>
      <c r="O1043" s="108">
        <f>SUM(O1031:O1042)</f>
        <v>999665.16</v>
      </c>
      <c r="P1043" s="276">
        <f t="shared" ref="P1043:Q1043" si="201">SUM(P1031:P1042)</f>
        <v>1093670</v>
      </c>
      <c r="Q1043" s="282">
        <f t="shared" si="201"/>
        <v>240607.4</v>
      </c>
      <c r="R1043" s="282">
        <f>SUM(R1031:R1042)</f>
        <v>1334277.3999999999</v>
      </c>
      <c r="S1043" s="286">
        <f>R1043/100*10</f>
        <v>133427.74</v>
      </c>
      <c r="T1043" s="104">
        <v>42</v>
      </c>
      <c r="U1043" s="304"/>
    </row>
    <row r="1044" spans="1:21" ht="15" customHeight="1" x14ac:dyDescent="0.35">
      <c r="A1044" s="218" t="s">
        <v>3373</v>
      </c>
      <c r="B1044" s="3">
        <v>998</v>
      </c>
      <c r="C1044" s="44">
        <v>10092064</v>
      </c>
      <c r="D1044" s="18" t="s">
        <v>370</v>
      </c>
      <c r="E1044" s="18" t="s">
        <v>2201</v>
      </c>
      <c r="F1044" s="12">
        <v>3</v>
      </c>
      <c r="G1044" s="3" t="s">
        <v>0</v>
      </c>
      <c r="H1044" s="49" t="s">
        <v>528</v>
      </c>
      <c r="I1044" s="5" t="s">
        <v>999</v>
      </c>
      <c r="J1044" s="4" t="s">
        <v>1962</v>
      </c>
      <c r="K1044" s="5" t="s">
        <v>988</v>
      </c>
      <c r="L1044" s="5" t="s">
        <v>871</v>
      </c>
      <c r="M1044" s="72">
        <f t="shared" si="189"/>
        <v>4266</v>
      </c>
      <c r="N1044" s="72">
        <f t="shared" ref="N1044:N1052" si="202">O1044/F1044</f>
        <v>1422</v>
      </c>
      <c r="O1044" s="72">
        <v>4266</v>
      </c>
      <c r="P1044" s="72">
        <v>940</v>
      </c>
      <c r="Q1044" s="256">
        <f t="shared" ref="Q1044:Q1052" si="203">R1044-P1044</f>
        <v>206.8</v>
      </c>
      <c r="R1044" s="256">
        <f t="shared" ref="R1044:R1052" si="204">P1044*1.22</f>
        <v>1146.8</v>
      </c>
      <c r="S1044" s="289"/>
      <c r="T1044" s="3">
        <v>43</v>
      </c>
      <c r="U1044" s="292" t="s">
        <v>2362</v>
      </c>
    </row>
    <row r="1045" spans="1:21" ht="21" customHeight="1" x14ac:dyDescent="0.35">
      <c r="A1045" s="218" t="s">
        <v>3374</v>
      </c>
      <c r="B1045" s="3">
        <v>999</v>
      </c>
      <c r="C1045" s="45">
        <v>10102273</v>
      </c>
      <c r="D1045" s="2" t="s">
        <v>554</v>
      </c>
      <c r="E1045" s="18" t="s">
        <v>711</v>
      </c>
      <c r="F1045" s="7">
        <v>2</v>
      </c>
      <c r="G1045" s="3" t="s">
        <v>0</v>
      </c>
      <c r="H1045" s="5">
        <v>42004</v>
      </c>
      <c r="I1045" s="30" t="s">
        <v>1003</v>
      </c>
      <c r="J1045" s="4" t="s">
        <v>1962</v>
      </c>
      <c r="K1045" s="14" t="s">
        <v>817</v>
      </c>
      <c r="L1045" s="3" t="s">
        <v>871</v>
      </c>
      <c r="M1045" s="72">
        <f t="shared" si="189"/>
        <v>1466.04</v>
      </c>
      <c r="N1045" s="72">
        <f t="shared" si="202"/>
        <v>733.02</v>
      </c>
      <c r="O1045" s="72">
        <v>1466.04</v>
      </c>
      <c r="P1045" s="72">
        <v>960</v>
      </c>
      <c r="Q1045" s="256">
        <f t="shared" si="203"/>
        <v>211.2</v>
      </c>
      <c r="R1045" s="256">
        <f t="shared" si="204"/>
        <v>1171.2</v>
      </c>
      <c r="S1045" s="296"/>
      <c r="T1045" s="3">
        <v>43</v>
      </c>
      <c r="U1045" s="293"/>
    </row>
    <row r="1046" spans="1:21" ht="15" customHeight="1" x14ac:dyDescent="0.35">
      <c r="A1046" s="218" t="s">
        <v>3375</v>
      </c>
      <c r="B1046" s="3">
        <v>1000</v>
      </c>
      <c r="C1046" s="58">
        <v>10098143</v>
      </c>
      <c r="D1046" s="21" t="s">
        <v>970</v>
      </c>
      <c r="E1046" s="18" t="s">
        <v>2201</v>
      </c>
      <c r="F1046" s="7">
        <f>2-1</f>
        <v>1</v>
      </c>
      <c r="G1046" s="3" t="s">
        <v>0</v>
      </c>
      <c r="H1046" s="33">
        <v>42277</v>
      </c>
      <c r="I1046" s="4" t="s">
        <v>999</v>
      </c>
      <c r="J1046" s="4" t="s">
        <v>1962</v>
      </c>
      <c r="K1046" s="4" t="s">
        <v>988</v>
      </c>
      <c r="L1046" s="5" t="s">
        <v>871</v>
      </c>
      <c r="M1046" s="72">
        <f t="shared" si="189"/>
        <v>4057.28</v>
      </c>
      <c r="N1046" s="72">
        <f t="shared" si="202"/>
        <v>4057.28</v>
      </c>
      <c r="O1046" s="72">
        <v>4057.28</v>
      </c>
      <c r="P1046" s="72">
        <v>2360</v>
      </c>
      <c r="Q1046" s="256">
        <f t="shared" si="203"/>
        <v>519.20000000000005</v>
      </c>
      <c r="R1046" s="256">
        <f t="shared" si="204"/>
        <v>2879.2</v>
      </c>
      <c r="S1046" s="296"/>
      <c r="T1046" s="3">
        <v>43</v>
      </c>
      <c r="U1046" s="293"/>
    </row>
    <row r="1047" spans="1:21" ht="33" customHeight="1" x14ac:dyDescent="0.35">
      <c r="A1047" s="218" t="s">
        <v>3376</v>
      </c>
      <c r="B1047" s="3">
        <v>1001</v>
      </c>
      <c r="C1047" s="68">
        <v>10149594</v>
      </c>
      <c r="D1047" s="24" t="s">
        <v>1042</v>
      </c>
      <c r="E1047" s="18" t="s">
        <v>2237</v>
      </c>
      <c r="F1047" s="91">
        <v>9</v>
      </c>
      <c r="G1047" s="3" t="s">
        <v>0</v>
      </c>
      <c r="H1047" s="54" t="s">
        <v>516</v>
      </c>
      <c r="I1047" s="4" t="s">
        <v>989</v>
      </c>
      <c r="J1047" s="25" t="s">
        <v>982</v>
      </c>
      <c r="K1047" s="23" t="s">
        <v>1042</v>
      </c>
      <c r="L1047" s="6" t="s">
        <v>871</v>
      </c>
      <c r="M1047" s="81">
        <f t="shared" si="189"/>
        <v>2588.11</v>
      </c>
      <c r="N1047" s="81">
        <f t="shared" si="202"/>
        <v>287.57</v>
      </c>
      <c r="O1047" s="81">
        <v>2588.11</v>
      </c>
      <c r="P1047" s="72">
        <v>1890</v>
      </c>
      <c r="Q1047" s="256">
        <f t="shared" si="203"/>
        <v>415.8</v>
      </c>
      <c r="R1047" s="256">
        <f t="shared" si="204"/>
        <v>2305.8000000000002</v>
      </c>
      <c r="S1047" s="296"/>
      <c r="T1047" s="3">
        <v>43</v>
      </c>
      <c r="U1047" s="293"/>
    </row>
    <row r="1048" spans="1:21" ht="22.5" customHeight="1" x14ac:dyDescent="0.35">
      <c r="A1048" s="218" t="s">
        <v>3377</v>
      </c>
      <c r="B1048" s="3">
        <v>1002</v>
      </c>
      <c r="C1048" s="68">
        <v>10112610</v>
      </c>
      <c r="D1048" s="24" t="s">
        <v>1113</v>
      </c>
      <c r="E1048" s="18" t="s">
        <v>2237</v>
      </c>
      <c r="F1048" s="91">
        <f>14-5</f>
        <v>9</v>
      </c>
      <c r="G1048" s="3" t="s">
        <v>0</v>
      </c>
      <c r="H1048" s="54" t="s">
        <v>518</v>
      </c>
      <c r="I1048" s="4" t="s">
        <v>989</v>
      </c>
      <c r="J1048" s="25" t="s">
        <v>2285</v>
      </c>
      <c r="K1048" s="23" t="s">
        <v>1263</v>
      </c>
      <c r="L1048" s="6" t="s">
        <v>871</v>
      </c>
      <c r="M1048" s="81">
        <f t="shared" si="189"/>
        <v>54935.95</v>
      </c>
      <c r="N1048" s="81">
        <f t="shared" si="202"/>
        <v>6103.99</v>
      </c>
      <c r="O1048" s="81">
        <f>85455.92/14*9</f>
        <v>54935.95</v>
      </c>
      <c r="P1048" s="72">
        <v>26980</v>
      </c>
      <c r="Q1048" s="256">
        <f t="shared" si="203"/>
        <v>5935.6</v>
      </c>
      <c r="R1048" s="256">
        <f t="shared" si="204"/>
        <v>32915.599999999999</v>
      </c>
      <c r="S1048" s="296"/>
      <c r="T1048" s="3">
        <v>43</v>
      </c>
      <c r="U1048" s="293"/>
    </row>
    <row r="1049" spans="1:21" ht="29.25" customHeight="1" x14ac:dyDescent="0.35">
      <c r="A1049" s="218" t="s">
        <v>3378</v>
      </c>
      <c r="B1049" s="3">
        <v>1003</v>
      </c>
      <c r="C1049" s="68">
        <v>10105821</v>
      </c>
      <c r="D1049" s="24" t="s">
        <v>1157</v>
      </c>
      <c r="E1049" s="18" t="s">
        <v>2237</v>
      </c>
      <c r="F1049" s="91">
        <v>1148</v>
      </c>
      <c r="G1049" s="3" t="s">
        <v>0</v>
      </c>
      <c r="H1049" s="54" t="s">
        <v>518</v>
      </c>
      <c r="I1049" s="4" t="s">
        <v>989</v>
      </c>
      <c r="J1049" s="4" t="s">
        <v>1962</v>
      </c>
      <c r="K1049" s="23" t="s">
        <v>1284</v>
      </c>
      <c r="L1049" s="6" t="s">
        <v>871</v>
      </c>
      <c r="M1049" s="81">
        <f t="shared" si="189"/>
        <v>671367.32</v>
      </c>
      <c r="N1049" s="81">
        <f t="shared" si="202"/>
        <v>584.80999999999995</v>
      </c>
      <c r="O1049" s="81">
        <v>671367.32</v>
      </c>
      <c r="P1049" s="72">
        <v>596740</v>
      </c>
      <c r="Q1049" s="256">
        <f t="shared" si="203"/>
        <v>131282.79999999999</v>
      </c>
      <c r="R1049" s="256">
        <f t="shared" si="204"/>
        <v>728022.8</v>
      </c>
      <c r="S1049" s="296"/>
      <c r="T1049" s="3">
        <v>43</v>
      </c>
      <c r="U1049" s="293"/>
    </row>
    <row r="1050" spans="1:21" ht="15" customHeight="1" x14ac:dyDescent="0.35">
      <c r="A1050" s="218" t="s">
        <v>3379</v>
      </c>
      <c r="B1050" s="3">
        <v>1004</v>
      </c>
      <c r="C1050" s="18">
        <v>102029173</v>
      </c>
      <c r="D1050" s="18" t="s">
        <v>2163</v>
      </c>
      <c r="E1050" s="18" t="s">
        <v>2197</v>
      </c>
      <c r="F1050" s="12">
        <v>1</v>
      </c>
      <c r="G1050" s="3" t="s">
        <v>0</v>
      </c>
      <c r="H1050" s="3">
        <v>2006</v>
      </c>
      <c r="I1050" s="13" t="s">
        <v>999</v>
      </c>
      <c r="J1050" s="4" t="s">
        <v>1962</v>
      </c>
      <c r="K1050" s="4" t="s">
        <v>988</v>
      </c>
      <c r="L1050" s="5" t="s">
        <v>871</v>
      </c>
      <c r="M1050" s="72">
        <f t="shared" si="189"/>
        <v>14984.17</v>
      </c>
      <c r="N1050" s="72">
        <f t="shared" si="202"/>
        <v>14984.17</v>
      </c>
      <c r="O1050" s="72">
        <v>14984.17</v>
      </c>
      <c r="P1050" s="72">
        <v>5860</v>
      </c>
      <c r="Q1050" s="256">
        <f t="shared" si="203"/>
        <v>1289.2</v>
      </c>
      <c r="R1050" s="256">
        <f t="shared" si="204"/>
        <v>7149.2</v>
      </c>
      <c r="S1050" s="296"/>
      <c r="T1050" s="3">
        <v>43</v>
      </c>
      <c r="U1050" s="293"/>
    </row>
    <row r="1051" spans="1:21" ht="15" customHeight="1" x14ac:dyDescent="0.35">
      <c r="A1051" s="218" t="s">
        <v>3380</v>
      </c>
      <c r="B1051" s="3">
        <v>1005</v>
      </c>
      <c r="C1051" s="18">
        <v>102029167</v>
      </c>
      <c r="D1051" s="18" t="s">
        <v>2164</v>
      </c>
      <c r="E1051" s="18" t="s">
        <v>2197</v>
      </c>
      <c r="F1051" s="12">
        <v>2</v>
      </c>
      <c r="G1051" s="3" t="s">
        <v>0</v>
      </c>
      <c r="H1051" s="3">
        <v>2006</v>
      </c>
      <c r="I1051" s="13" t="s">
        <v>999</v>
      </c>
      <c r="J1051" s="4" t="s">
        <v>1962</v>
      </c>
      <c r="K1051" s="4" t="s">
        <v>988</v>
      </c>
      <c r="L1051" s="5" t="s">
        <v>871</v>
      </c>
      <c r="M1051" s="72">
        <f t="shared" si="189"/>
        <v>20738.740000000002</v>
      </c>
      <c r="N1051" s="72">
        <f t="shared" si="202"/>
        <v>10369.370000000001</v>
      </c>
      <c r="O1051" s="72">
        <v>20738.740000000002</v>
      </c>
      <c r="P1051" s="72">
        <v>23870</v>
      </c>
      <c r="Q1051" s="256">
        <f t="shared" si="203"/>
        <v>5251.4</v>
      </c>
      <c r="R1051" s="256">
        <f t="shared" si="204"/>
        <v>29121.4</v>
      </c>
      <c r="S1051" s="296"/>
      <c r="T1051" s="3">
        <v>43</v>
      </c>
      <c r="U1051" s="293"/>
    </row>
    <row r="1052" spans="1:21" ht="15" customHeight="1" x14ac:dyDescent="0.35">
      <c r="A1052" s="218" t="s">
        <v>3381</v>
      </c>
      <c r="B1052" s="3">
        <v>1006</v>
      </c>
      <c r="C1052" s="44">
        <v>10097708</v>
      </c>
      <c r="D1052" s="18" t="s">
        <v>98</v>
      </c>
      <c r="E1052" s="18" t="s">
        <v>2027</v>
      </c>
      <c r="F1052" s="12">
        <v>31</v>
      </c>
      <c r="G1052" s="3" t="s">
        <v>0</v>
      </c>
      <c r="H1052" s="49">
        <v>2014</v>
      </c>
      <c r="I1052" s="27" t="s">
        <v>984</v>
      </c>
      <c r="J1052" s="35" t="s">
        <v>2260</v>
      </c>
      <c r="K1052" s="49" t="s">
        <v>2087</v>
      </c>
      <c r="L1052" s="5" t="s">
        <v>2147</v>
      </c>
      <c r="M1052" s="72">
        <f t="shared" si="189"/>
        <v>37119.160000000003</v>
      </c>
      <c r="N1052" s="72">
        <f t="shared" si="202"/>
        <v>1197.3900000000001</v>
      </c>
      <c r="O1052" s="72">
        <v>37119.160000000003</v>
      </c>
      <c r="P1052" s="72">
        <v>21030</v>
      </c>
      <c r="Q1052" s="256">
        <f t="shared" si="203"/>
        <v>4626.6000000000004</v>
      </c>
      <c r="R1052" s="256">
        <f t="shared" si="204"/>
        <v>25656.6</v>
      </c>
      <c r="S1052" s="297"/>
      <c r="T1052" s="3">
        <v>43</v>
      </c>
      <c r="U1052" s="293"/>
    </row>
    <row r="1053" spans="1:21" ht="15" customHeight="1" x14ac:dyDescent="0.35">
      <c r="A1053" s="218"/>
      <c r="B1053" s="94"/>
      <c r="C1053" s="44"/>
      <c r="D1053" s="18"/>
      <c r="E1053" s="18"/>
      <c r="F1053" s="12"/>
      <c r="G1053" s="3"/>
      <c r="H1053" s="49"/>
      <c r="I1053" s="27"/>
      <c r="J1053" s="35"/>
      <c r="K1053" s="49"/>
      <c r="L1053" s="5"/>
      <c r="M1053" s="72"/>
      <c r="N1053" s="72"/>
      <c r="O1053" s="82">
        <f>SUM(O1044:O1052)</f>
        <v>811522.77</v>
      </c>
      <c r="P1053" s="276">
        <f t="shared" ref="P1053:Q1053" si="205">SUM(P1044:P1052)</f>
        <v>680630</v>
      </c>
      <c r="Q1053" s="282">
        <f t="shared" si="205"/>
        <v>149738.6</v>
      </c>
      <c r="R1053" s="282">
        <f>SUM(R1044:R1052)</f>
        <v>830368.6</v>
      </c>
      <c r="S1053" s="286">
        <f>R1053/100*10</f>
        <v>83036.86</v>
      </c>
      <c r="T1053" s="104">
        <v>43</v>
      </c>
      <c r="U1053" s="304"/>
    </row>
    <row r="1054" spans="1:21" ht="15" customHeight="1" x14ac:dyDescent="0.35">
      <c r="A1054" s="218" t="s">
        <v>3382</v>
      </c>
      <c r="B1054" s="3">
        <v>1007</v>
      </c>
      <c r="C1054" s="44">
        <v>10142851</v>
      </c>
      <c r="D1054" s="18" t="s">
        <v>511</v>
      </c>
      <c r="E1054" s="19" t="s">
        <v>2230</v>
      </c>
      <c r="F1054" s="12">
        <v>6</v>
      </c>
      <c r="G1054" s="3" t="s">
        <v>0</v>
      </c>
      <c r="H1054" s="5">
        <v>42004</v>
      </c>
      <c r="I1054" s="5" t="s">
        <v>1002</v>
      </c>
      <c r="J1054" s="4" t="s">
        <v>1962</v>
      </c>
      <c r="K1054" s="4" t="s">
        <v>511</v>
      </c>
      <c r="L1054" s="5" t="s">
        <v>977</v>
      </c>
      <c r="M1054" s="72">
        <f t="shared" si="189"/>
        <v>449071.44</v>
      </c>
      <c r="N1054" s="72">
        <f>O1054/F1054</f>
        <v>74845.240000000005</v>
      </c>
      <c r="O1054" s="72">
        <v>449071.44</v>
      </c>
      <c r="P1054" s="72">
        <v>728840</v>
      </c>
      <c r="Q1054" s="256">
        <f t="shared" ref="Q1054:Q1060" si="206">R1054-P1054</f>
        <v>160344.79999999999</v>
      </c>
      <c r="R1054" s="256">
        <f t="shared" ref="R1054:R1060" si="207">P1054*1.22</f>
        <v>889184.8</v>
      </c>
      <c r="S1054" s="289"/>
      <c r="T1054" s="3">
        <v>44</v>
      </c>
      <c r="U1054" s="292" t="s">
        <v>2326</v>
      </c>
    </row>
    <row r="1055" spans="1:21" ht="36.75" customHeight="1" x14ac:dyDescent="0.35">
      <c r="A1055" s="218" t="s">
        <v>3383</v>
      </c>
      <c r="B1055" s="3">
        <v>1008</v>
      </c>
      <c r="C1055" s="44">
        <v>10089681</v>
      </c>
      <c r="D1055" s="18" t="s">
        <v>1492</v>
      </c>
      <c r="E1055" s="19" t="s">
        <v>2219</v>
      </c>
      <c r="F1055" s="12">
        <v>22</v>
      </c>
      <c r="G1055" s="3" t="s">
        <v>0</v>
      </c>
      <c r="H1055" s="39">
        <v>42164</v>
      </c>
      <c r="I1055" s="27" t="s">
        <v>984</v>
      </c>
      <c r="J1055" s="4" t="s">
        <v>2294</v>
      </c>
      <c r="K1055" s="4" t="s">
        <v>988</v>
      </c>
      <c r="L1055" s="29" t="s">
        <v>977</v>
      </c>
      <c r="M1055" s="78">
        <f t="shared" si="189"/>
        <v>211001.56</v>
      </c>
      <c r="N1055" s="78">
        <f>O1055/F1055</f>
        <v>9590.98</v>
      </c>
      <c r="O1055" s="78">
        <v>211001.56</v>
      </c>
      <c r="P1055" s="72">
        <v>316850</v>
      </c>
      <c r="Q1055" s="256">
        <f t="shared" si="206"/>
        <v>69707</v>
      </c>
      <c r="R1055" s="256">
        <f t="shared" si="207"/>
        <v>386557</v>
      </c>
      <c r="S1055" s="296"/>
      <c r="T1055" s="3">
        <v>44</v>
      </c>
      <c r="U1055" s="293"/>
    </row>
    <row r="1056" spans="1:21" ht="25.5" customHeight="1" x14ac:dyDescent="0.35">
      <c r="A1056" s="218" t="s">
        <v>3384</v>
      </c>
      <c r="B1056" s="3">
        <v>1009</v>
      </c>
      <c r="C1056" s="44">
        <v>102003357</v>
      </c>
      <c r="D1056" s="18" t="s">
        <v>1531</v>
      </c>
      <c r="E1056" s="19" t="s">
        <v>2219</v>
      </c>
      <c r="F1056" s="12">
        <v>2</v>
      </c>
      <c r="G1056" s="3" t="s">
        <v>0</v>
      </c>
      <c r="H1056" s="39">
        <v>42005</v>
      </c>
      <c r="I1056" s="27" t="s">
        <v>984</v>
      </c>
      <c r="J1056" s="4" t="s">
        <v>1999</v>
      </c>
      <c r="K1056" s="4" t="s">
        <v>988</v>
      </c>
      <c r="L1056" s="29" t="s">
        <v>977</v>
      </c>
      <c r="M1056" s="78">
        <f t="shared" si="189"/>
        <v>177202.66</v>
      </c>
      <c r="N1056" s="78">
        <f>O1056/F1056</f>
        <v>88601.33</v>
      </c>
      <c r="O1056" s="78">
        <v>177202.66</v>
      </c>
      <c r="P1056" s="72">
        <v>276620</v>
      </c>
      <c r="Q1056" s="256">
        <f t="shared" si="206"/>
        <v>60856.4</v>
      </c>
      <c r="R1056" s="256">
        <f t="shared" si="207"/>
        <v>337476.4</v>
      </c>
      <c r="S1056" s="296"/>
      <c r="T1056" s="3">
        <v>44</v>
      </c>
      <c r="U1056" s="293"/>
    </row>
    <row r="1057" spans="1:21" ht="15" customHeight="1" x14ac:dyDescent="0.35">
      <c r="A1057" s="218" t="s">
        <v>3385</v>
      </c>
      <c r="B1057" s="3">
        <v>1010</v>
      </c>
      <c r="C1057" s="44">
        <v>102012407</v>
      </c>
      <c r="D1057" s="18" t="s">
        <v>2140</v>
      </c>
      <c r="E1057" s="18" t="s">
        <v>2027</v>
      </c>
      <c r="F1057" s="12">
        <v>1</v>
      </c>
      <c r="G1057" s="12" t="s">
        <v>0</v>
      </c>
      <c r="H1057" s="5">
        <v>42706</v>
      </c>
      <c r="I1057" s="8" t="s">
        <v>984</v>
      </c>
      <c r="J1057" s="4" t="s">
        <v>986</v>
      </c>
      <c r="K1057" s="4" t="s">
        <v>988</v>
      </c>
      <c r="L1057" s="4" t="s">
        <v>977</v>
      </c>
      <c r="M1057" s="81">
        <f t="shared" si="189"/>
        <v>3497.81</v>
      </c>
      <c r="N1057" s="81">
        <f>O1057/F1057</f>
        <v>3497.81</v>
      </c>
      <c r="O1057" s="81">
        <v>3497.81</v>
      </c>
      <c r="P1057" s="72">
        <v>4790</v>
      </c>
      <c r="Q1057" s="256">
        <f t="shared" si="206"/>
        <v>1053.8</v>
      </c>
      <c r="R1057" s="256">
        <f t="shared" si="207"/>
        <v>5843.8</v>
      </c>
      <c r="S1057" s="296"/>
      <c r="T1057" s="3">
        <v>44</v>
      </c>
      <c r="U1057" s="293"/>
    </row>
    <row r="1058" spans="1:21" ht="15" customHeight="1" x14ac:dyDescent="0.35">
      <c r="A1058" s="218" t="s">
        <v>3386</v>
      </c>
      <c r="B1058" s="3">
        <v>1011</v>
      </c>
      <c r="C1058" s="44">
        <v>10090730</v>
      </c>
      <c r="D1058" s="18" t="s">
        <v>1572</v>
      </c>
      <c r="E1058" s="18" t="s">
        <v>2027</v>
      </c>
      <c r="F1058" s="12">
        <v>1</v>
      </c>
      <c r="G1058" s="3" t="s">
        <v>0</v>
      </c>
      <c r="H1058" s="39">
        <v>40133</v>
      </c>
      <c r="I1058" s="27" t="s">
        <v>984</v>
      </c>
      <c r="J1058" s="4" t="s">
        <v>1962</v>
      </c>
      <c r="K1058" s="4" t="s">
        <v>988</v>
      </c>
      <c r="L1058" s="29" t="s">
        <v>977</v>
      </c>
      <c r="M1058" s="78">
        <v>47.2</v>
      </c>
      <c r="N1058" s="78">
        <v>47.2</v>
      </c>
      <c r="O1058" s="78">
        <v>47.2</v>
      </c>
      <c r="P1058" s="72">
        <v>100</v>
      </c>
      <c r="Q1058" s="256">
        <f t="shared" si="206"/>
        <v>22</v>
      </c>
      <c r="R1058" s="256">
        <f t="shared" si="207"/>
        <v>122</v>
      </c>
      <c r="S1058" s="296"/>
      <c r="T1058" s="3">
        <v>44</v>
      </c>
      <c r="U1058" s="293"/>
    </row>
    <row r="1059" spans="1:21" ht="22.5" customHeight="1" x14ac:dyDescent="0.35">
      <c r="A1059" s="218" t="s">
        <v>3387</v>
      </c>
      <c r="B1059" s="3">
        <v>1012</v>
      </c>
      <c r="C1059" s="44">
        <v>10019561</v>
      </c>
      <c r="D1059" s="18" t="s">
        <v>1779</v>
      </c>
      <c r="E1059" s="18" t="s">
        <v>2027</v>
      </c>
      <c r="F1059" s="12">
        <v>2</v>
      </c>
      <c r="G1059" s="3" t="s">
        <v>0</v>
      </c>
      <c r="H1059" s="39">
        <v>39448</v>
      </c>
      <c r="I1059" s="27" t="s">
        <v>984</v>
      </c>
      <c r="J1059" s="4" t="s">
        <v>1982</v>
      </c>
      <c r="K1059" s="4" t="s">
        <v>988</v>
      </c>
      <c r="L1059" s="29" t="s">
        <v>977</v>
      </c>
      <c r="M1059" s="78">
        <f t="shared" ref="M1059:M1083" si="208">O1059</f>
        <v>21470</v>
      </c>
      <c r="N1059" s="78">
        <f>O1059/F1059</f>
        <v>10735</v>
      </c>
      <c r="O1059" s="78">
        <v>21470</v>
      </c>
      <c r="P1059" s="72">
        <v>63040</v>
      </c>
      <c r="Q1059" s="256">
        <f t="shared" si="206"/>
        <v>13868.8</v>
      </c>
      <c r="R1059" s="256">
        <f t="shared" si="207"/>
        <v>76908.800000000003</v>
      </c>
      <c r="S1059" s="296"/>
      <c r="T1059" s="3">
        <v>44</v>
      </c>
      <c r="U1059" s="293"/>
    </row>
    <row r="1060" spans="1:21" ht="93" customHeight="1" x14ac:dyDescent="0.35">
      <c r="A1060" s="218" t="s">
        <v>3388</v>
      </c>
      <c r="B1060" s="3">
        <v>1013</v>
      </c>
      <c r="C1060" s="18">
        <v>102012404</v>
      </c>
      <c r="D1060" s="18" t="s">
        <v>2241</v>
      </c>
      <c r="E1060" s="18" t="s">
        <v>2027</v>
      </c>
      <c r="F1060" s="12">
        <v>1</v>
      </c>
      <c r="G1060" s="3" t="s">
        <v>0</v>
      </c>
      <c r="H1060" s="5">
        <v>42725</v>
      </c>
      <c r="I1060" s="27" t="s">
        <v>984</v>
      </c>
      <c r="J1060" s="4" t="s">
        <v>2246</v>
      </c>
      <c r="K1060" s="4" t="s">
        <v>988</v>
      </c>
      <c r="L1060" s="29" t="s">
        <v>977</v>
      </c>
      <c r="M1060" s="78">
        <f t="shared" si="208"/>
        <v>415442.98</v>
      </c>
      <c r="N1060" s="78">
        <f>O1060/F1060</f>
        <v>415442.98</v>
      </c>
      <c r="O1060" s="78">
        <v>415442.98</v>
      </c>
      <c r="P1060" s="72">
        <v>568580</v>
      </c>
      <c r="Q1060" s="256">
        <f t="shared" si="206"/>
        <v>125087.6</v>
      </c>
      <c r="R1060" s="256">
        <f t="shared" si="207"/>
        <v>693667.6</v>
      </c>
      <c r="S1060" s="297"/>
      <c r="T1060" s="3">
        <v>44</v>
      </c>
      <c r="U1060" s="293"/>
    </row>
    <row r="1061" spans="1:21" ht="15" customHeight="1" x14ac:dyDescent="0.35">
      <c r="A1061" s="218"/>
      <c r="B1061" s="94"/>
      <c r="C1061" s="18"/>
      <c r="D1061" s="18"/>
      <c r="E1061" s="18"/>
      <c r="F1061" s="12"/>
      <c r="G1061" s="3"/>
      <c r="H1061" s="5"/>
      <c r="I1061" s="27"/>
      <c r="J1061" s="4"/>
      <c r="K1061" s="4"/>
      <c r="L1061" s="29"/>
      <c r="M1061" s="78"/>
      <c r="N1061" s="78"/>
      <c r="O1061" s="108">
        <f>SUM(O1054:O1060)</f>
        <v>1277733.6499999999</v>
      </c>
      <c r="P1061" s="276">
        <f t="shared" ref="P1061:Q1061" si="209">SUM(P1054:P1060)</f>
        <v>1958820</v>
      </c>
      <c r="Q1061" s="282">
        <f t="shared" si="209"/>
        <v>430940.4</v>
      </c>
      <c r="R1061" s="282">
        <f>SUM(R1054:R1060)</f>
        <v>2389760.4</v>
      </c>
      <c r="S1061" s="286">
        <f>R1061/100*10</f>
        <v>238976.04</v>
      </c>
      <c r="T1061" s="104">
        <v>44</v>
      </c>
      <c r="U1061" s="304"/>
    </row>
    <row r="1062" spans="1:21" ht="15" customHeight="1" x14ac:dyDescent="0.35">
      <c r="A1062" s="218" t="s">
        <v>3389</v>
      </c>
      <c r="B1062" s="3">
        <v>1014</v>
      </c>
      <c r="C1062" s="44">
        <v>10090610</v>
      </c>
      <c r="D1062" s="18" t="s">
        <v>148</v>
      </c>
      <c r="E1062" s="18" t="s">
        <v>2213</v>
      </c>
      <c r="F1062" s="12">
        <f>2-1</f>
        <v>1</v>
      </c>
      <c r="G1062" s="3" t="s">
        <v>0</v>
      </c>
      <c r="H1062" s="49" t="s">
        <v>2195</v>
      </c>
      <c r="I1062" s="5" t="s">
        <v>2209</v>
      </c>
      <c r="J1062" s="4" t="s">
        <v>1962</v>
      </c>
      <c r="K1062" s="5" t="s">
        <v>988</v>
      </c>
      <c r="L1062" s="29" t="s">
        <v>2143</v>
      </c>
      <c r="M1062" s="78">
        <f t="shared" si="208"/>
        <v>13377.58</v>
      </c>
      <c r="N1062" s="78">
        <f t="shared" ref="N1062:N1069" si="210">O1062/F1062</f>
        <v>13377.58</v>
      </c>
      <c r="O1062" s="78">
        <f>26755.16/2*1</f>
        <v>13377.58</v>
      </c>
      <c r="P1062" s="72">
        <v>16250</v>
      </c>
      <c r="Q1062" s="256">
        <f t="shared" ref="Q1062:Q1069" si="211">R1062-P1062</f>
        <v>3575</v>
      </c>
      <c r="R1062" s="256">
        <f t="shared" ref="R1062:R1069" si="212">P1062*1.22</f>
        <v>19825</v>
      </c>
      <c r="S1062" s="289"/>
      <c r="T1062" s="3">
        <v>45</v>
      </c>
      <c r="U1062" s="292" t="s">
        <v>2326</v>
      </c>
    </row>
    <row r="1063" spans="1:21" ht="15" customHeight="1" x14ac:dyDescent="0.35">
      <c r="A1063" s="218" t="s">
        <v>3390</v>
      </c>
      <c r="B1063" s="3">
        <v>1015</v>
      </c>
      <c r="C1063" s="44">
        <v>10102968</v>
      </c>
      <c r="D1063" s="18" t="s">
        <v>302</v>
      </c>
      <c r="E1063" s="18" t="s">
        <v>2201</v>
      </c>
      <c r="F1063" s="12">
        <v>1</v>
      </c>
      <c r="G1063" s="3" t="s">
        <v>0</v>
      </c>
      <c r="H1063" s="49" t="s">
        <v>517</v>
      </c>
      <c r="I1063" s="49" t="s">
        <v>999</v>
      </c>
      <c r="J1063" s="4" t="s">
        <v>1962</v>
      </c>
      <c r="K1063" s="5" t="s">
        <v>988</v>
      </c>
      <c r="L1063" s="5" t="s">
        <v>871</v>
      </c>
      <c r="M1063" s="72">
        <f t="shared" si="208"/>
        <v>7845.48</v>
      </c>
      <c r="N1063" s="72">
        <f t="shared" si="210"/>
        <v>7845.48</v>
      </c>
      <c r="O1063" s="72">
        <v>7845.48</v>
      </c>
      <c r="P1063" s="72">
        <v>8090</v>
      </c>
      <c r="Q1063" s="256">
        <f t="shared" si="211"/>
        <v>1779.8</v>
      </c>
      <c r="R1063" s="256">
        <f t="shared" si="212"/>
        <v>9869.7999999999993</v>
      </c>
      <c r="S1063" s="296"/>
      <c r="T1063" s="3">
        <v>45</v>
      </c>
      <c r="U1063" s="293"/>
    </row>
    <row r="1064" spans="1:21" ht="15" customHeight="1" x14ac:dyDescent="0.35">
      <c r="A1064" s="218" t="s">
        <v>3391</v>
      </c>
      <c r="B1064" s="3">
        <v>1016</v>
      </c>
      <c r="C1064" s="44">
        <v>10054092</v>
      </c>
      <c r="D1064" s="18" t="s">
        <v>223</v>
      </c>
      <c r="E1064" s="18" t="s">
        <v>2206</v>
      </c>
      <c r="F1064" s="12">
        <v>1</v>
      </c>
      <c r="G1064" s="3" t="s">
        <v>0</v>
      </c>
      <c r="H1064" s="5">
        <v>42036</v>
      </c>
      <c r="I1064" s="5" t="s">
        <v>2144</v>
      </c>
      <c r="J1064" s="4" t="s">
        <v>1962</v>
      </c>
      <c r="K1064" s="5" t="s">
        <v>988</v>
      </c>
      <c r="L1064" s="6" t="s">
        <v>871</v>
      </c>
      <c r="M1064" s="81">
        <f t="shared" si="208"/>
        <v>25763.87</v>
      </c>
      <c r="N1064" s="81">
        <f t="shared" si="210"/>
        <v>25763.87</v>
      </c>
      <c r="O1064" s="81">
        <v>25763.87</v>
      </c>
      <c r="P1064" s="72">
        <v>17420</v>
      </c>
      <c r="Q1064" s="256">
        <f t="shared" si="211"/>
        <v>3832.4</v>
      </c>
      <c r="R1064" s="256">
        <f t="shared" si="212"/>
        <v>21252.400000000001</v>
      </c>
      <c r="S1064" s="296"/>
      <c r="T1064" s="3">
        <v>45</v>
      </c>
      <c r="U1064" s="293"/>
    </row>
    <row r="1065" spans="1:21" ht="15" customHeight="1" x14ac:dyDescent="0.35">
      <c r="A1065" s="218" t="s">
        <v>3392</v>
      </c>
      <c r="B1065" s="3">
        <v>1017</v>
      </c>
      <c r="C1065" s="44">
        <v>10022946</v>
      </c>
      <c r="D1065" s="18" t="s">
        <v>239</v>
      </c>
      <c r="E1065" s="18" t="s">
        <v>2206</v>
      </c>
      <c r="F1065" s="12">
        <v>2</v>
      </c>
      <c r="G1065" s="3" t="s">
        <v>0</v>
      </c>
      <c r="H1065" s="5">
        <v>42036</v>
      </c>
      <c r="I1065" s="5" t="s">
        <v>2144</v>
      </c>
      <c r="J1065" s="4" t="s">
        <v>1962</v>
      </c>
      <c r="K1065" s="5" t="s">
        <v>988</v>
      </c>
      <c r="L1065" s="6" t="s">
        <v>871</v>
      </c>
      <c r="M1065" s="81">
        <f t="shared" si="208"/>
        <v>35357.82</v>
      </c>
      <c r="N1065" s="81">
        <f t="shared" si="210"/>
        <v>17678.91</v>
      </c>
      <c r="O1065" s="81">
        <v>35357.82</v>
      </c>
      <c r="P1065" s="72">
        <v>34740</v>
      </c>
      <c r="Q1065" s="256">
        <f t="shared" si="211"/>
        <v>7642.8</v>
      </c>
      <c r="R1065" s="256">
        <f t="shared" si="212"/>
        <v>42382.8</v>
      </c>
      <c r="S1065" s="296"/>
      <c r="T1065" s="3">
        <v>45</v>
      </c>
      <c r="U1065" s="293"/>
    </row>
    <row r="1066" spans="1:21" ht="15" customHeight="1" x14ac:dyDescent="0.35">
      <c r="A1066" s="218" t="s">
        <v>3393</v>
      </c>
      <c r="B1066" s="3">
        <v>1018</v>
      </c>
      <c r="C1066" s="45">
        <v>10018637</v>
      </c>
      <c r="D1066" s="2" t="s">
        <v>708</v>
      </c>
      <c r="E1066" s="19" t="s">
        <v>2028</v>
      </c>
      <c r="F1066" s="12">
        <v>1</v>
      </c>
      <c r="G1066" s="3" t="s">
        <v>0</v>
      </c>
      <c r="H1066" s="3">
        <v>2014</v>
      </c>
      <c r="I1066" s="13" t="s">
        <v>998</v>
      </c>
      <c r="J1066" s="4" t="s">
        <v>1962</v>
      </c>
      <c r="K1066" s="14" t="s">
        <v>708</v>
      </c>
      <c r="L1066" s="6" t="s">
        <v>871</v>
      </c>
      <c r="M1066" s="81">
        <f t="shared" si="208"/>
        <v>8413.0499999999993</v>
      </c>
      <c r="N1066" s="81">
        <f t="shared" si="210"/>
        <v>8413.0499999999993</v>
      </c>
      <c r="O1066" s="81">
        <v>8413.0499999999993</v>
      </c>
      <c r="P1066" s="72">
        <v>9010</v>
      </c>
      <c r="Q1066" s="256">
        <f t="shared" si="211"/>
        <v>1982.2</v>
      </c>
      <c r="R1066" s="256">
        <f t="shared" si="212"/>
        <v>10992.2</v>
      </c>
      <c r="S1066" s="296"/>
      <c r="T1066" s="3">
        <v>45</v>
      </c>
      <c r="U1066" s="293"/>
    </row>
    <row r="1067" spans="1:21" ht="15" customHeight="1" x14ac:dyDescent="0.35">
      <c r="A1067" s="218" t="s">
        <v>3394</v>
      </c>
      <c r="B1067" s="3">
        <v>1019</v>
      </c>
      <c r="C1067" s="45">
        <v>102001345</v>
      </c>
      <c r="D1067" s="15" t="s">
        <v>552</v>
      </c>
      <c r="E1067" s="18" t="s">
        <v>2236</v>
      </c>
      <c r="F1067" s="12">
        <v>1</v>
      </c>
      <c r="G1067" s="3" t="s">
        <v>0</v>
      </c>
      <c r="H1067" s="5">
        <v>42004</v>
      </c>
      <c r="I1067" s="30" t="s">
        <v>1003</v>
      </c>
      <c r="J1067" s="4" t="s">
        <v>1962</v>
      </c>
      <c r="K1067" s="14" t="s">
        <v>725</v>
      </c>
      <c r="L1067" s="3" t="s">
        <v>871</v>
      </c>
      <c r="M1067" s="72">
        <f t="shared" si="208"/>
        <v>132384</v>
      </c>
      <c r="N1067" s="72">
        <f t="shared" si="210"/>
        <v>132384</v>
      </c>
      <c r="O1067" s="72">
        <v>132384</v>
      </c>
      <c r="P1067" s="72">
        <v>124440</v>
      </c>
      <c r="Q1067" s="256">
        <f t="shared" si="211"/>
        <v>27376.799999999999</v>
      </c>
      <c r="R1067" s="256">
        <f t="shared" si="212"/>
        <v>151816.79999999999</v>
      </c>
      <c r="S1067" s="296"/>
      <c r="T1067" s="3">
        <v>45</v>
      </c>
      <c r="U1067" s="293"/>
    </row>
    <row r="1068" spans="1:21" ht="15" customHeight="1" x14ac:dyDescent="0.35">
      <c r="A1068" s="218" t="s">
        <v>3395</v>
      </c>
      <c r="B1068" s="3">
        <v>1020</v>
      </c>
      <c r="C1068" s="45">
        <v>102000294</v>
      </c>
      <c r="D1068" s="15" t="s">
        <v>553</v>
      </c>
      <c r="E1068" s="18" t="s">
        <v>2236</v>
      </c>
      <c r="F1068" s="12">
        <v>1</v>
      </c>
      <c r="G1068" s="3" t="s">
        <v>0</v>
      </c>
      <c r="H1068" s="5">
        <v>42004</v>
      </c>
      <c r="I1068" s="30" t="s">
        <v>1003</v>
      </c>
      <c r="J1068" s="4" t="s">
        <v>1962</v>
      </c>
      <c r="K1068" s="14" t="s">
        <v>726</v>
      </c>
      <c r="L1068" s="3" t="s">
        <v>871</v>
      </c>
      <c r="M1068" s="72">
        <f t="shared" si="208"/>
        <v>929496.58</v>
      </c>
      <c r="N1068" s="72">
        <f t="shared" si="210"/>
        <v>929496.58</v>
      </c>
      <c r="O1068" s="72">
        <v>929496.58</v>
      </c>
      <c r="P1068" s="72">
        <v>1032830</v>
      </c>
      <c r="Q1068" s="256">
        <f t="shared" si="211"/>
        <v>227222.6</v>
      </c>
      <c r="R1068" s="256">
        <f t="shared" si="212"/>
        <v>1260052.6000000001</v>
      </c>
      <c r="S1068" s="296"/>
      <c r="T1068" s="3">
        <v>45</v>
      </c>
      <c r="U1068" s="293"/>
    </row>
    <row r="1069" spans="1:21" ht="15" customHeight="1" x14ac:dyDescent="0.35">
      <c r="A1069" s="218" t="s">
        <v>3396</v>
      </c>
      <c r="B1069" s="3">
        <v>1021</v>
      </c>
      <c r="C1069" s="45">
        <v>10130844</v>
      </c>
      <c r="D1069" s="2" t="s">
        <v>694</v>
      </c>
      <c r="E1069" s="18" t="s">
        <v>2236</v>
      </c>
      <c r="F1069" s="7">
        <v>2</v>
      </c>
      <c r="G1069" s="3" t="s">
        <v>0</v>
      </c>
      <c r="H1069" s="5">
        <v>42004</v>
      </c>
      <c r="I1069" s="30" t="s">
        <v>1003</v>
      </c>
      <c r="J1069" s="4" t="s">
        <v>1962</v>
      </c>
      <c r="K1069" s="14" t="s">
        <v>812</v>
      </c>
      <c r="L1069" s="3" t="s">
        <v>871</v>
      </c>
      <c r="M1069" s="72">
        <f t="shared" si="208"/>
        <v>184822.74</v>
      </c>
      <c r="N1069" s="72">
        <f t="shared" si="210"/>
        <v>92411.37</v>
      </c>
      <c r="O1069" s="72">
        <v>184822.74</v>
      </c>
      <c r="P1069" s="72">
        <v>190580</v>
      </c>
      <c r="Q1069" s="256">
        <f t="shared" si="211"/>
        <v>41927.599999999999</v>
      </c>
      <c r="R1069" s="256">
        <f t="shared" si="212"/>
        <v>232507.6</v>
      </c>
      <c r="S1069" s="297"/>
      <c r="T1069" s="3">
        <v>45</v>
      </c>
      <c r="U1069" s="293"/>
    </row>
    <row r="1070" spans="1:21" ht="15" customHeight="1" x14ac:dyDescent="0.35">
      <c r="A1070" s="218"/>
      <c r="B1070" s="94"/>
      <c r="C1070" s="44"/>
      <c r="D1070" s="18"/>
      <c r="E1070" s="18"/>
      <c r="F1070" s="12"/>
      <c r="G1070" s="3"/>
      <c r="H1070" s="49"/>
      <c r="I1070" s="27"/>
      <c r="J1070" s="5"/>
      <c r="K1070" s="49"/>
      <c r="L1070" s="5"/>
      <c r="M1070" s="72"/>
      <c r="N1070" s="72"/>
      <c r="O1070" s="82">
        <f>SUM(O1062:O1069)</f>
        <v>1337461.1200000001</v>
      </c>
      <c r="P1070" s="276">
        <f t="shared" ref="P1070:Q1070" si="213">SUM(P1062:P1069)</f>
        <v>1433360</v>
      </c>
      <c r="Q1070" s="282">
        <f t="shared" si="213"/>
        <v>315339.2</v>
      </c>
      <c r="R1070" s="282">
        <f>SUM(R1062:R1069)</f>
        <v>1748699.2</v>
      </c>
      <c r="S1070" s="286">
        <f>R1070/100*10</f>
        <v>174869.92</v>
      </c>
      <c r="T1070" s="104">
        <v>45</v>
      </c>
      <c r="U1070" s="304"/>
    </row>
    <row r="1071" spans="1:21" ht="66" customHeight="1" x14ac:dyDescent="0.35">
      <c r="A1071" s="218" t="s">
        <v>3397</v>
      </c>
      <c r="B1071" s="3">
        <v>1022</v>
      </c>
      <c r="C1071" s="44">
        <v>10098220</v>
      </c>
      <c r="D1071" s="18" t="s">
        <v>410</v>
      </c>
      <c r="E1071" s="18" t="s">
        <v>2197</v>
      </c>
      <c r="F1071" s="12">
        <v>886</v>
      </c>
      <c r="G1071" s="3" t="s">
        <v>53</v>
      </c>
      <c r="H1071" s="5">
        <v>42004</v>
      </c>
      <c r="I1071" s="5" t="s">
        <v>999</v>
      </c>
      <c r="J1071" s="4" t="s">
        <v>4264</v>
      </c>
      <c r="K1071" s="6" t="s">
        <v>4263</v>
      </c>
      <c r="L1071" s="5" t="s">
        <v>871</v>
      </c>
      <c r="M1071" s="72">
        <f t="shared" si="208"/>
        <v>1150878.56</v>
      </c>
      <c r="N1071" s="72">
        <f>O1071/F1071</f>
        <v>1298.96</v>
      </c>
      <c r="O1071" s="72">
        <v>1150878.56</v>
      </c>
      <c r="P1071" s="72">
        <v>787020</v>
      </c>
      <c r="Q1071" s="256">
        <f>R1071-P1071</f>
        <v>173144.4</v>
      </c>
      <c r="R1071" s="256">
        <f>P1071*1.22</f>
        <v>960164.4</v>
      </c>
      <c r="S1071" s="289"/>
      <c r="T1071" s="3">
        <v>46</v>
      </c>
      <c r="U1071" s="292" t="s">
        <v>2327</v>
      </c>
    </row>
    <row r="1072" spans="1:21" ht="15" customHeight="1" x14ac:dyDescent="0.35">
      <c r="A1072" s="218" t="s">
        <v>3398</v>
      </c>
      <c r="B1072" s="3">
        <v>1023</v>
      </c>
      <c r="C1072" s="58">
        <v>10000599</v>
      </c>
      <c r="D1072" s="21" t="s">
        <v>872</v>
      </c>
      <c r="E1072" s="18" t="s">
        <v>2197</v>
      </c>
      <c r="F1072" s="22">
        <v>20</v>
      </c>
      <c r="G1072" s="3" t="s">
        <v>53</v>
      </c>
      <c r="H1072" s="33">
        <v>42004</v>
      </c>
      <c r="I1072" s="4" t="s">
        <v>999</v>
      </c>
      <c r="J1072" s="4" t="s">
        <v>1962</v>
      </c>
      <c r="K1072" s="4" t="s">
        <v>988</v>
      </c>
      <c r="L1072" s="5" t="s">
        <v>871</v>
      </c>
      <c r="M1072" s="72">
        <f t="shared" si="208"/>
        <v>10288.200000000001</v>
      </c>
      <c r="N1072" s="72">
        <f>O1072/F1072</f>
        <v>514.41</v>
      </c>
      <c r="O1072" s="72">
        <v>10288.200000000001</v>
      </c>
      <c r="P1072" s="72">
        <v>7040</v>
      </c>
      <c r="Q1072" s="256">
        <f>R1072-P1072</f>
        <v>1548.8</v>
      </c>
      <c r="R1072" s="256">
        <f>P1072*1.22</f>
        <v>8588.7999999999993</v>
      </c>
      <c r="S1072" s="296"/>
      <c r="T1072" s="3">
        <v>46</v>
      </c>
      <c r="U1072" s="293"/>
    </row>
    <row r="1073" spans="1:21" ht="15" customHeight="1" x14ac:dyDescent="0.35">
      <c r="A1073" s="218" t="s">
        <v>3399</v>
      </c>
      <c r="B1073" s="3">
        <v>1024</v>
      </c>
      <c r="C1073" s="58">
        <v>10114887</v>
      </c>
      <c r="D1073" s="21" t="s">
        <v>873</v>
      </c>
      <c r="E1073" s="18" t="s">
        <v>2197</v>
      </c>
      <c r="F1073" s="22">
        <v>30</v>
      </c>
      <c r="G1073" s="3" t="s">
        <v>53</v>
      </c>
      <c r="H1073" s="33">
        <v>42004</v>
      </c>
      <c r="I1073" s="4" t="s">
        <v>999</v>
      </c>
      <c r="J1073" s="4" t="s">
        <v>1962</v>
      </c>
      <c r="K1073" s="4" t="s">
        <v>988</v>
      </c>
      <c r="L1073" s="5" t="s">
        <v>871</v>
      </c>
      <c r="M1073" s="72">
        <f t="shared" si="208"/>
        <v>6055.5</v>
      </c>
      <c r="N1073" s="72">
        <f>O1073/F1073</f>
        <v>201.85</v>
      </c>
      <c r="O1073" s="72">
        <v>6055.5</v>
      </c>
      <c r="P1073" s="72">
        <v>4140</v>
      </c>
      <c r="Q1073" s="256">
        <f>R1073-P1073</f>
        <v>910.8</v>
      </c>
      <c r="R1073" s="256">
        <f>P1073*1.22</f>
        <v>5050.8</v>
      </c>
      <c r="S1073" s="297"/>
      <c r="T1073" s="3">
        <v>46</v>
      </c>
      <c r="U1073" s="293"/>
    </row>
    <row r="1074" spans="1:21" ht="15" customHeight="1" x14ac:dyDescent="0.35">
      <c r="A1074" s="218"/>
      <c r="B1074" s="94"/>
      <c r="C1074" s="58"/>
      <c r="D1074" s="21"/>
      <c r="E1074" s="18"/>
      <c r="F1074" s="22"/>
      <c r="G1074" s="3"/>
      <c r="H1074" s="33"/>
      <c r="I1074" s="4"/>
      <c r="J1074" s="4"/>
      <c r="K1074" s="4"/>
      <c r="L1074" s="5"/>
      <c r="M1074" s="72"/>
      <c r="N1074" s="72"/>
      <c r="O1074" s="82">
        <f>SUM(O1071:O1073)</f>
        <v>1167222.26</v>
      </c>
      <c r="P1074" s="276">
        <f t="shared" ref="P1074:Q1074" si="214">SUM(P1071:P1073)</f>
        <v>798200</v>
      </c>
      <c r="Q1074" s="282">
        <f t="shared" si="214"/>
        <v>175604</v>
      </c>
      <c r="R1074" s="282">
        <f>SUM(R1071:R1073)</f>
        <v>973804</v>
      </c>
      <c r="S1074" s="286">
        <f>R1074/100*10</f>
        <v>97380.4</v>
      </c>
      <c r="T1074" s="104">
        <v>46</v>
      </c>
      <c r="U1074" s="304"/>
    </row>
    <row r="1075" spans="1:21" ht="15" customHeight="1" x14ac:dyDescent="0.35">
      <c r="A1075" s="218" t="s">
        <v>3400</v>
      </c>
      <c r="B1075" s="3">
        <v>1025</v>
      </c>
      <c r="C1075" s="44">
        <v>10018378</v>
      </c>
      <c r="D1075" s="18" t="s">
        <v>1479</v>
      </c>
      <c r="E1075" s="19" t="s">
        <v>2219</v>
      </c>
      <c r="F1075" s="12">
        <v>2</v>
      </c>
      <c r="G1075" s="3" t="s">
        <v>0</v>
      </c>
      <c r="H1075" s="39">
        <v>41431</v>
      </c>
      <c r="I1075" s="27" t="s">
        <v>984</v>
      </c>
      <c r="J1075" s="4" t="s">
        <v>1962</v>
      </c>
      <c r="K1075" s="4" t="s">
        <v>988</v>
      </c>
      <c r="L1075" s="29" t="s">
        <v>977</v>
      </c>
      <c r="M1075" s="78">
        <f t="shared" si="208"/>
        <v>2960.13</v>
      </c>
      <c r="N1075" s="78">
        <f t="shared" ref="N1075:N1083" si="215">O1075/F1075</f>
        <v>1480.07</v>
      </c>
      <c r="O1075" s="78">
        <v>2960.13</v>
      </c>
      <c r="P1075" s="72">
        <v>3660</v>
      </c>
      <c r="Q1075" s="256">
        <f t="shared" ref="Q1075:Q1106" si="216">R1075-P1075</f>
        <v>805.2</v>
      </c>
      <c r="R1075" s="256">
        <f t="shared" ref="R1075:R1106" si="217">P1075*1.22</f>
        <v>4465.2</v>
      </c>
      <c r="S1075" s="289"/>
      <c r="T1075" s="3">
        <v>47</v>
      </c>
      <c r="U1075" s="292" t="s">
        <v>2328</v>
      </c>
    </row>
    <row r="1076" spans="1:21" ht="15" customHeight="1" x14ac:dyDescent="0.35">
      <c r="A1076" s="218" t="s">
        <v>3401</v>
      </c>
      <c r="B1076" s="3">
        <v>1026</v>
      </c>
      <c r="C1076" s="44">
        <v>10029939</v>
      </c>
      <c r="D1076" s="18" t="s">
        <v>1480</v>
      </c>
      <c r="E1076" s="19" t="s">
        <v>2219</v>
      </c>
      <c r="F1076" s="12">
        <v>5</v>
      </c>
      <c r="G1076" s="3" t="s">
        <v>0</v>
      </c>
      <c r="H1076" s="39">
        <v>39355</v>
      </c>
      <c r="I1076" s="27" t="s">
        <v>984</v>
      </c>
      <c r="J1076" s="4" t="s">
        <v>1962</v>
      </c>
      <c r="K1076" s="4" t="s">
        <v>988</v>
      </c>
      <c r="L1076" s="29" t="s">
        <v>977</v>
      </c>
      <c r="M1076" s="78">
        <f t="shared" si="208"/>
        <v>4130</v>
      </c>
      <c r="N1076" s="78">
        <f t="shared" si="215"/>
        <v>826</v>
      </c>
      <c r="O1076" s="78">
        <v>4130</v>
      </c>
      <c r="P1076" s="72">
        <v>7350</v>
      </c>
      <c r="Q1076" s="256">
        <f t="shared" si="216"/>
        <v>1617</v>
      </c>
      <c r="R1076" s="256">
        <f t="shared" si="217"/>
        <v>8967</v>
      </c>
      <c r="S1076" s="296"/>
      <c r="T1076" s="3">
        <v>47</v>
      </c>
      <c r="U1076" s="293"/>
    </row>
    <row r="1077" spans="1:21" ht="15" customHeight="1" x14ac:dyDescent="0.35">
      <c r="A1077" s="218" t="s">
        <v>3402</v>
      </c>
      <c r="B1077" s="3">
        <v>1027</v>
      </c>
      <c r="C1077" s="44">
        <v>10028486</v>
      </c>
      <c r="D1077" s="18" t="s">
        <v>1481</v>
      </c>
      <c r="E1077" s="19" t="s">
        <v>2219</v>
      </c>
      <c r="F1077" s="12">
        <v>2</v>
      </c>
      <c r="G1077" s="3" t="s">
        <v>0</v>
      </c>
      <c r="H1077" s="39">
        <v>41431</v>
      </c>
      <c r="I1077" s="27" t="s">
        <v>984</v>
      </c>
      <c r="J1077" s="4" t="s">
        <v>1962</v>
      </c>
      <c r="K1077" s="4" t="s">
        <v>988</v>
      </c>
      <c r="L1077" s="29" t="s">
        <v>977</v>
      </c>
      <c r="M1077" s="78">
        <f t="shared" si="208"/>
        <v>5373.53</v>
      </c>
      <c r="N1077" s="78">
        <f t="shared" si="215"/>
        <v>2686.77</v>
      </c>
      <c r="O1077" s="78">
        <v>5373.53</v>
      </c>
      <c r="P1077" s="72">
        <v>6640</v>
      </c>
      <c r="Q1077" s="256">
        <f t="shared" si="216"/>
        <v>1460.8</v>
      </c>
      <c r="R1077" s="256">
        <f t="shared" si="217"/>
        <v>8100.8</v>
      </c>
      <c r="S1077" s="296"/>
      <c r="T1077" s="3">
        <v>47</v>
      </c>
      <c r="U1077" s="293"/>
    </row>
    <row r="1078" spans="1:21" ht="15" customHeight="1" x14ac:dyDescent="0.35">
      <c r="A1078" s="218" t="s">
        <v>3403</v>
      </c>
      <c r="B1078" s="3">
        <v>1028</v>
      </c>
      <c r="C1078" s="44">
        <v>10005067</v>
      </c>
      <c r="D1078" s="18" t="s">
        <v>1482</v>
      </c>
      <c r="E1078" s="19" t="s">
        <v>2219</v>
      </c>
      <c r="F1078" s="12">
        <v>2</v>
      </c>
      <c r="G1078" s="3" t="s">
        <v>0</v>
      </c>
      <c r="H1078" s="39">
        <v>41431</v>
      </c>
      <c r="I1078" s="27" t="s">
        <v>984</v>
      </c>
      <c r="J1078" s="4" t="s">
        <v>1962</v>
      </c>
      <c r="K1078" s="4" t="s">
        <v>988</v>
      </c>
      <c r="L1078" s="29" t="s">
        <v>977</v>
      </c>
      <c r="M1078" s="78">
        <f t="shared" si="208"/>
        <v>2804.43</v>
      </c>
      <c r="N1078" s="78">
        <f t="shared" si="215"/>
        <v>1402.22</v>
      </c>
      <c r="O1078" s="78">
        <v>2804.43</v>
      </c>
      <c r="P1078" s="72">
        <v>3470</v>
      </c>
      <c r="Q1078" s="256">
        <f t="shared" si="216"/>
        <v>763.4</v>
      </c>
      <c r="R1078" s="256">
        <f t="shared" si="217"/>
        <v>4233.3999999999996</v>
      </c>
      <c r="S1078" s="296"/>
      <c r="T1078" s="3">
        <v>47</v>
      </c>
      <c r="U1078" s="293"/>
    </row>
    <row r="1079" spans="1:21" ht="15" customHeight="1" x14ac:dyDescent="0.35">
      <c r="A1079" s="218" t="s">
        <v>3404</v>
      </c>
      <c r="B1079" s="3">
        <v>1029</v>
      </c>
      <c r="C1079" s="44">
        <v>10029828</v>
      </c>
      <c r="D1079" s="18" t="s">
        <v>1483</v>
      </c>
      <c r="E1079" s="19" t="s">
        <v>2219</v>
      </c>
      <c r="F1079" s="12">
        <v>2</v>
      </c>
      <c r="G1079" s="3" t="s">
        <v>0</v>
      </c>
      <c r="H1079" s="39">
        <v>41431</v>
      </c>
      <c r="I1079" s="27" t="s">
        <v>984</v>
      </c>
      <c r="J1079" s="4" t="s">
        <v>1962</v>
      </c>
      <c r="K1079" s="4" t="s">
        <v>988</v>
      </c>
      <c r="L1079" s="29" t="s">
        <v>977</v>
      </c>
      <c r="M1079" s="78">
        <f t="shared" si="208"/>
        <v>1440</v>
      </c>
      <c r="N1079" s="78">
        <f t="shared" si="215"/>
        <v>720</v>
      </c>
      <c r="O1079" s="78">
        <v>1440</v>
      </c>
      <c r="P1079" s="72">
        <v>1780</v>
      </c>
      <c r="Q1079" s="256">
        <f t="shared" si="216"/>
        <v>391.6</v>
      </c>
      <c r="R1079" s="256">
        <f t="shared" si="217"/>
        <v>2171.6</v>
      </c>
      <c r="S1079" s="296"/>
      <c r="T1079" s="3">
        <v>47</v>
      </c>
      <c r="U1079" s="293"/>
    </row>
    <row r="1080" spans="1:21" ht="15" customHeight="1" x14ac:dyDescent="0.35">
      <c r="A1080" s="218" t="s">
        <v>3405</v>
      </c>
      <c r="B1080" s="3">
        <v>1030</v>
      </c>
      <c r="C1080" s="44">
        <v>10018379</v>
      </c>
      <c r="D1080" s="18" t="s">
        <v>1484</v>
      </c>
      <c r="E1080" s="19" t="s">
        <v>2219</v>
      </c>
      <c r="F1080" s="12">
        <v>2</v>
      </c>
      <c r="G1080" s="3" t="s">
        <v>0</v>
      </c>
      <c r="H1080" s="39">
        <v>41431</v>
      </c>
      <c r="I1080" s="27" t="s">
        <v>984</v>
      </c>
      <c r="J1080" s="4" t="s">
        <v>1962</v>
      </c>
      <c r="K1080" s="4" t="s">
        <v>988</v>
      </c>
      <c r="L1080" s="29" t="s">
        <v>977</v>
      </c>
      <c r="M1080" s="78">
        <f t="shared" si="208"/>
        <v>1866.06</v>
      </c>
      <c r="N1080" s="78">
        <f t="shared" si="215"/>
        <v>933.03</v>
      </c>
      <c r="O1080" s="78">
        <v>1866.06</v>
      </c>
      <c r="P1080" s="72">
        <v>2310</v>
      </c>
      <c r="Q1080" s="256">
        <f t="shared" si="216"/>
        <v>508.2</v>
      </c>
      <c r="R1080" s="256">
        <f t="shared" si="217"/>
        <v>2818.2</v>
      </c>
      <c r="S1080" s="296"/>
      <c r="T1080" s="3">
        <v>47</v>
      </c>
      <c r="U1080" s="293"/>
    </row>
    <row r="1081" spans="1:21" ht="15" customHeight="1" x14ac:dyDescent="0.35">
      <c r="A1081" s="218" t="s">
        <v>3406</v>
      </c>
      <c r="B1081" s="3">
        <v>1031</v>
      </c>
      <c r="C1081" s="44">
        <v>10051448</v>
      </c>
      <c r="D1081" s="18" t="s">
        <v>1485</v>
      </c>
      <c r="E1081" s="19" t="s">
        <v>2219</v>
      </c>
      <c r="F1081" s="12">
        <v>2</v>
      </c>
      <c r="G1081" s="3" t="s">
        <v>0</v>
      </c>
      <c r="H1081" s="39">
        <v>39967</v>
      </c>
      <c r="I1081" s="27" t="s">
        <v>984</v>
      </c>
      <c r="J1081" s="4" t="s">
        <v>1962</v>
      </c>
      <c r="K1081" s="4" t="s">
        <v>988</v>
      </c>
      <c r="L1081" s="29" t="s">
        <v>977</v>
      </c>
      <c r="M1081" s="78">
        <f t="shared" si="208"/>
        <v>6474</v>
      </c>
      <c r="N1081" s="78">
        <f t="shared" si="215"/>
        <v>3237</v>
      </c>
      <c r="O1081" s="78">
        <v>6474</v>
      </c>
      <c r="P1081" s="72">
        <v>10700</v>
      </c>
      <c r="Q1081" s="256">
        <f t="shared" si="216"/>
        <v>2354</v>
      </c>
      <c r="R1081" s="256">
        <f t="shared" si="217"/>
        <v>13054</v>
      </c>
      <c r="S1081" s="296"/>
      <c r="T1081" s="3">
        <v>47</v>
      </c>
      <c r="U1081" s="293"/>
    </row>
    <row r="1082" spans="1:21" ht="15" customHeight="1" x14ac:dyDescent="0.35">
      <c r="A1082" s="218" t="s">
        <v>3407</v>
      </c>
      <c r="B1082" s="3">
        <v>1032</v>
      </c>
      <c r="C1082" s="44">
        <v>10028730</v>
      </c>
      <c r="D1082" s="18" t="s">
        <v>1486</v>
      </c>
      <c r="E1082" s="19" t="s">
        <v>2219</v>
      </c>
      <c r="F1082" s="12">
        <v>2</v>
      </c>
      <c r="G1082" s="3" t="s">
        <v>0</v>
      </c>
      <c r="H1082" s="39">
        <v>41431</v>
      </c>
      <c r="I1082" s="27" t="s">
        <v>984</v>
      </c>
      <c r="J1082" s="4" t="s">
        <v>1962</v>
      </c>
      <c r="K1082" s="4" t="s">
        <v>988</v>
      </c>
      <c r="L1082" s="29" t="s">
        <v>977</v>
      </c>
      <c r="M1082" s="78">
        <f t="shared" si="208"/>
        <v>7537.34</v>
      </c>
      <c r="N1082" s="78">
        <f t="shared" si="215"/>
        <v>3768.67</v>
      </c>
      <c r="O1082" s="78">
        <v>7537.34</v>
      </c>
      <c r="P1082" s="72">
        <v>9320</v>
      </c>
      <c r="Q1082" s="256">
        <f t="shared" si="216"/>
        <v>2050.4</v>
      </c>
      <c r="R1082" s="256">
        <f t="shared" si="217"/>
        <v>11370.4</v>
      </c>
      <c r="S1082" s="296"/>
      <c r="T1082" s="3">
        <v>47</v>
      </c>
      <c r="U1082" s="293"/>
    </row>
    <row r="1083" spans="1:21" ht="15" customHeight="1" x14ac:dyDescent="0.35">
      <c r="A1083" s="218" t="s">
        <v>3408</v>
      </c>
      <c r="B1083" s="3">
        <v>1033</v>
      </c>
      <c r="C1083" s="44">
        <v>10124188</v>
      </c>
      <c r="D1083" s="18" t="s">
        <v>1487</v>
      </c>
      <c r="E1083" s="19" t="s">
        <v>2219</v>
      </c>
      <c r="F1083" s="12">
        <v>1</v>
      </c>
      <c r="G1083" s="3" t="s">
        <v>0</v>
      </c>
      <c r="H1083" s="39">
        <v>41431</v>
      </c>
      <c r="I1083" s="27" t="s">
        <v>984</v>
      </c>
      <c r="J1083" s="4" t="s">
        <v>1962</v>
      </c>
      <c r="K1083" s="4" t="s">
        <v>988</v>
      </c>
      <c r="L1083" s="29" t="s">
        <v>977</v>
      </c>
      <c r="M1083" s="78">
        <f t="shared" si="208"/>
        <v>2887.32</v>
      </c>
      <c r="N1083" s="78">
        <f t="shared" si="215"/>
        <v>2887.32</v>
      </c>
      <c r="O1083" s="78">
        <v>2887.32</v>
      </c>
      <c r="P1083" s="72">
        <v>3570</v>
      </c>
      <c r="Q1083" s="256">
        <f t="shared" si="216"/>
        <v>785.4</v>
      </c>
      <c r="R1083" s="256">
        <f t="shared" si="217"/>
        <v>4355.3999999999996</v>
      </c>
      <c r="S1083" s="296"/>
      <c r="T1083" s="3">
        <v>47</v>
      </c>
      <c r="U1083" s="293"/>
    </row>
    <row r="1084" spans="1:21" ht="15" customHeight="1" x14ac:dyDescent="0.35">
      <c r="A1084" s="218" t="s">
        <v>3409</v>
      </c>
      <c r="B1084" s="3">
        <v>1034</v>
      </c>
      <c r="C1084" s="44">
        <v>10040668</v>
      </c>
      <c r="D1084" s="18" t="s">
        <v>1573</v>
      </c>
      <c r="E1084" s="18" t="s">
        <v>2027</v>
      </c>
      <c r="F1084" s="12">
        <v>6</v>
      </c>
      <c r="G1084" s="3" t="s">
        <v>0</v>
      </c>
      <c r="H1084" s="39">
        <v>41431</v>
      </c>
      <c r="I1084" s="27" t="s">
        <v>984</v>
      </c>
      <c r="J1084" s="4" t="s">
        <v>1962</v>
      </c>
      <c r="K1084" s="4" t="s">
        <v>988</v>
      </c>
      <c r="L1084" s="29" t="s">
        <v>977</v>
      </c>
      <c r="M1084" s="78">
        <v>337.98</v>
      </c>
      <c r="N1084" s="78">
        <v>56.33</v>
      </c>
      <c r="O1084" s="78">
        <v>337.98</v>
      </c>
      <c r="P1084" s="72">
        <v>430</v>
      </c>
      <c r="Q1084" s="256">
        <f t="shared" si="216"/>
        <v>94.6</v>
      </c>
      <c r="R1084" s="256">
        <f t="shared" si="217"/>
        <v>524.6</v>
      </c>
      <c r="S1084" s="296"/>
      <c r="T1084" s="3">
        <v>47</v>
      </c>
      <c r="U1084" s="293"/>
    </row>
    <row r="1085" spans="1:21" ht="15" customHeight="1" x14ac:dyDescent="0.35">
      <c r="A1085" s="218" t="s">
        <v>3410</v>
      </c>
      <c r="B1085" s="3">
        <v>1035</v>
      </c>
      <c r="C1085" s="44">
        <v>10128517</v>
      </c>
      <c r="D1085" s="18" t="s">
        <v>1594</v>
      </c>
      <c r="E1085" s="18" t="s">
        <v>2027</v>
      </c>
      <c r="F1085" s="12">
        <v>48</v>
      </c>
      <c r="G1085" s="3" t="s">
        <v>17</v>
      </c>
      <c r="H1085" s="39">
        <v>41431</v>
      </c>
      <c r="I1085" s="27" t="s">
        <v>984</v>
      </c>
      <c r="J1085" s="4" t="s">
        <v>1962</v>
      </c>
      <c r="K1085" s="4" t="s">
        <v>988</v>
      </c>
      <c r="L1085" s="29" t="s">
        <v>977</v>
      </c>
      <c r="M1085" s="78">
        <f t="shared" ref="M1085:M1151" si="218">O1085</f>
        <v>8413.44</v>
      </c>
      <c r="N1085" s="78">
        <f t="shared" ref="N1085:N1116" si="219">O1085/F1085</f>
        <v>175.28</v>
      </c>
      <c r="O1085" s="78">
        <v>8413.44</v>
      </c>
      <c r="P1085" s="72">
        <v>10790</v>
      </c>
      <c r="Q1085" s="256">
        <f t="shared" si="216"/>
        <v>2373.8000000000002</v>
      </c>
      <c r="R1085" s="256">
        <f t="shared" si="217"/>
        <v>13163.8</v>
      </c>
      <c r="S1085" s="296"/>
      <c r="T1085" s="3">
        <v>47</v>
      </c>
      <c r="U1085" s="293"/>
    </row>
    <row r="1086" spans="1:21" ht="15.75" customHeight="1" x14ac:dyDescent="0.35">
      <c r="A1086" s="218" t="s">
        <v>3411</v>
      </c>
      <c r="B1086" s="3">
        <v>1036</v>
      </c>
      <c r="C1086" s="44">
        <v>10125588</v>
      </c>
      <c r="D1086" s="18" t="s">
        <v>1595</v>
      </c>
      <c r="E1086" s="18" t="s">
        <v>2219</v>
      </c>
      <c r="F1086" s="12">
        <f>16-10</f>
        <v>6</v>
      </c>
      <c r="G1086" s="3" t="s">
        <v>17</v>
      </c>
      <c r="H1086" s="39">
        <v>40855</v>
      </c>
      <c r="I1086" s="27" t="s">
        <v>984</v>
      </c>
      <c r="J1086" s="4" t="s">
        <v>1962</v>
      </c>
      <c r="K1086" s="4" t="s">
        <v>988</v>
      </c>
      <c r="L1086" s="29" t="s">
        <v>977</v>
      </c>
      <c r="M1086" s="85">
        <f t="shared" si="218"/>
        <v>2036.34</v>
      </c>
      <c r="N1086" s="85">
        <f t="shared" si="219"/>
        <v>339.39</v>
      </c>
      <c r="O1086" s="78">
        <f>5430.24/16*6</f>
        <v>2036.34</v>
      </c>
      <c r="P1086" s="72">
        <v>2560</v>
      </c>
      <c r="Q1086" s="256">
        <f t="shared" si="216"/>
        <v>563.20000000000005</v>
      </c>
      <c r="R1086" s="256">
        <f t="shared" si="217"/>
        <v>3123.2</v>
      </c>
      <c r="S1086" s="296"/>
      <c r="T1086" s="3">
        <v>47</v>
      </c>
      <c r="U1086" s="293"/>
    </row>
    <row r="1087" spans="1:21" ht="19.5" customHeight="1" x14ac:dyDescent="0.35">
      <c r="A1087" s="218" t="s">
        <v>3412</v>
      </c>
      <c r="B1087" s="3">
        <v>1037</v>
      </c>
      <c r="C1087" s="44">
        <v>10031341</v>
      </c>
      <c r="D1087" s="18" t="s">
        <v>1596</v>
      </c>
      <c r="E1087" s="18" t="s">
        <v>2027</v>
      </c>
      <c r="F1087" s="12">
        <v>23</v>
      </c>
      <c r="G1087" s="3" t="s">
        <v>0</v>
      </c>
      <c r="H1087" s="39">
        <v>41375</v>
      </c>
      <c r="I1087" s="27" t="s">
        <v>984</v>
      </c>
      <c r="J1087" s="4" t="s">
        <v>1962</v>
      </c>
      <c r="K1087" s="4" t="s">
        <v>988</v>
      </c>
      <c r="L1087" s="29" t="s">
        <v>977</v>
      </c>
      <c r="M1087" s="78">
        <f t="shared" si="218"/>
        <v>15125.42</v>
      </c>
      <c r="N1087" s="78">
        <f t="shared" si="219"/>
        <v>657.63</v>
      </c>
      <c r="O1087" s="78">
        <v>15125.42</v>
      </c>
      <c r="P1087" s="72">
        <v>19460</v>
      </c>
      <c r="Q1087" s="256">
        <f t="shared" si="216"/>
        <v>4281.2</v>
      </c>
      <c r="R1087" s="256">
        <f t="shared" si="217"/>
        <v>23741.200000000001</v>
      </c>
      <c r="S1087" s="296"/>
      <c r="T1087" s="3">
        <v>47</v>
      </c>
      <c r="U1087" s="293"/>
    </row>
    <row r="1088" spans="1:21" ht="33" customHeight="1" x14ac:dyDescent="0.35">
      <c r="A1088" s="218" t="s">
        <v>3413</v>
      </c>
      <c r="B1088" s="3">
        <v>1038</v>
      </c>
      <c r="C1088" s="44">
        <v>10004854</v>
      </c>
      <c r="D1088" s="18" t="s">
        <v>1597</v>
      </c>
      <c r="E1088" s="18" t="s">
        <v>2027</v>
      </c>
      <c r="F1088" s="12">
        <v>13</v>
      </c>
      <c r="G1088" s="3" t="s">
        <v>0</v>
      </c>
      <c r="H1088" s="39">
        <v>41479</v>
      </c>
      <c r="I1088" s="27" t="s">
        <v>984</v>
      </c>
      <c r="J1088" s="4" t="s">
        <v>1962</v>
      </c>
      <c r="K1088" s="4" t="s">
        <v>988</v>
      </c>
      <c r="L1088" s="29" t="s">
        <v>977</v>
      </c>
      <c r="M1088" s="78">
        <f t="shared" si="218"/>
        <v>17138.43</v>
      </c>
      <c r="N1088" s="78">
        <f t="shared" si="219"/>
        <v>1318.34</v>
      </c>
      <c r="O1088" s="78">
        <v>17138.43</v>
      </c>
      <c r="P1088" s="72">
        <v>21800</v>
      </c>
      <c r="Q1088" s="256">
        <f t="shared" si="216"/>
        <v>4796</v>
      </c>
      <c r="R1088" s="256">
        <f t="shared" si="217"/>
        <v>26596</v>
      </c>
      <c r="S1088" s="296"/>
      <c r="T1088" s="3">
        <v>47</v>
      </c>
      <c r="U1088" s="293"/>
    </row>
    <row r="1089" spans="1:21" ht="15" customHeight="1" x14ac:dyDescent="0.35">
      <c r="A1089" s="218" t="s">
        <v>3414</v>
      </c>
      <c r="B1089" s="3">
        <v>1039</v>
      </c>
      <c r="C1089" s="44">
        <v>10004856</v>
      </c>
      <c r="D1089" s="18" t="s">
        <v>1598</v>
      </c>
      <c r="E1089" s="18" t="s">
        <v>2027</v>
      </c>
      <c r="F1089" s="12">
        <v>21</v>
      </c>
      <c r="G1089" s="3" t="s">
        <v>0</v>
      </c>
      <c r="H1089" s="39">
        <v>41479</v>
      </c>
      <c r="I1089" s="27" t="s">
        <v>984</v>
      </c>
      <c r="J1089" s="4" t="s">
        <v>1962</v>
      </c>
      <c r="K1089" s="4" t="s">
        <v>988</v>
      </c>
      <c r="L1089" s="29" t="s">
        <v>977</v>
      </c>
      <c r="M1089" s="78">
        <f t="shared" si="218"/>
        <v>41377.980000000003</v>
      </c>
      <c r="N1089" s="78">
        <f t="shared" si="219"/>
        <v>1970.38</v>
      </c>
      <c r="O1089" s="78">
        <v>41377.980000000003</v>
      </c>
      <c r="P1089" s="72">
        <v>52630</v>
      </c>
      <c r="Q1089" s="256">
        <f t="shared" si="216"/>
        <v>11578.6</v>
      </c>
      <c r="R1089" s="256">
        <f t="shared" si="217"/>
        <v>64208.6</v>
      </c>
      <c r="S1089" s="296"/>
      <c r="T1089" s="3">
        <v>47</v>
      </c>
      <c r="U1089" s="293"/>
    </row>
    <row r="1090" spans="1:21" ht="30" customHeight="1" x14ac:dyDescent="0.35">
      <c r="A1090" s="218" t="s">
        <v>3415</v>
      </c>
      <c r="B1090" s="3">
        <v>1040</v>
      </c>
      <c r="C1090" s="44">
        <v>10036267</v>
      </c>
      <c r="D1090" s="18" t="s">
        <v>1605</v>
      </c>
      <c r="E1090" s="18" t="s">
        <v>2219</v>
      </c>
      <c r="F1090" s="12">
        <f>560-25</f>
        <v>535</v>
      </c>
      <c r="G1090" s="3" t="s">
        <v>0</v>
      </c>
      <c r="H1090" s="39">
        <v>41375</v>
      </c>
      <c r="I1090" s="27" t="s">
        <v>984</v>
      </c>
      <c r="J1090" s="4" t="s">
        <v>1962</v>
      </c>
      <c r="K1090" s="4" t="s">
        <v>988</v>
      </c>
      <c r="L1090" s="29" t="s">
        <v>977</v>
      </c>
      <c r="M1090" s="78">
        <f t="shared" si="218"/>
        <v>242938.15</v>
      </c>
      <c r="N1090" s="78">
        <f t="shared" si="219"/>
        <v>454.09</v>
      </c>
      <c r="O1090" s="78">
        <f>254290.4/560*535</f>
        <v>242938.15</v>
      </c>
      <c r="P1090" s="72">
        <v>312630</v>
      </c>
      <c r="Q1090" s="256">
        <f t="shared" si="216"/>
        <v>68778.600000000006</v>
      </c>
      <c r="R1090" s="256">
        <f t="shared" si="217"/>
        <v>381408.6</v>
      </c>
      <c r="S1090" s="296"/>
      <c r="T1090" s="3">
        <v>47</v>
      </c>
      <c r="U1090" s="293"/>
    </row>
    <row r="1091" spans="1:21" ht="30" customHeight="1" x14ac:dyDescent="0.35">
      <c r="A1091" s="218" t="s">
        <v>3416</v>
      </c>
      <c r="B1091" s="3">
        <v>1041</v>
      </c>
      <c r="C1091" s="44">
        <v>10112728</v>
      </c>
      <c r="D1091" s="18" t="s">
        <v>1606</v>
      </c>
      <c r="E1091" s="18" t="s">
        <v>2219</v>
      </c>
      <c r="F1091" s="12">
        <f>16-10</f>
        <v>6</v>
      </c>
      <c r="G1091" s="3" t="s">
        <v>0</v>
      </c>
      <c r="H1091" s="39">
        <v>42272</v>
      </c>
      <c r="I1091" s="27" t="s">
        <v>984</v>
      </c>
      <c r="J1091" s="4" t="s">
        <v>1962</v>
      </c>
      <c r="K1091" s="4" t="s">
        <v>988</v>
      </c>
      <c r="L1091" s="29" t="s">
        <v>977</v>
      </c>
      <c r="M1091" s="78">
        <f t="shared" si="218"/>
        <v>3010.7</v>
      </c>
      <c r="N1091" s="78">
        <f t="shared" si="219"/>
        <v>501.78</v>
      </c>
      <c r="O1091" s="78">
        <v>3010.7</v>
      </c>
      <c r="P1091" s="72">
        <v>3320</v>
      </c>
      <c r="Q1091" s="256">
        <f t="shared" si="216"/>
        <v>730.4</v>
      </c>
      <c r="R1091" s="256">
        <f t="shared" si="217"/>
        <v>4050.4</v>
      </c>
      <c r="S1091" s="296"/>
      <c r="T1091" s="3">
        <v>47</v>
      </c>
      <c r="U1091" s="293"/>
    </row>
    <row r="1092" spans="1:21" ht="30" customHeight="1" x14ac:dyDescent="0.35">
      <c r="A1092" s="218" t="s">
        <v>3417</v>
      </c>
      <c r="B1092" s="3">
        <v>1042</v>
      </c>
      <c r="C1092" s="44">
        <v>10102350</v>
      </c>
      <c r="D1092" s="18" t="s">
        <v>1607</v>
      </c>
      <c r="E1092" s="18" t="s">
        <v>2027</v>
      </c>
      <c r="F1092" s="12">
        <v>2</v>
      </c>
      <c r="G1092" s="3" t="s">
        <v>0</v>
      </c>
      <c r="H1092" s="39">
        <v>41479</v>
      </c>
      <c r="I1092" s="27" t="s">
        <v>984</v>
      </c>
      <c r="J1092" s="4" t="s">
        <v>1962</v>
      </c>
      <c r="K1092" s="4" t="s">
        <v>988</v>
      </c>
      <c r="L1092" s="29" t="s">
        <v>977</v>
      </c>
      <c r="M1092" s="78">
        <f t="shared" si="218"/>
        <v>137.96</v>
      </c>
      <c r="N1092" s="78">
        <f t="shared" si="219"/>
        <v>68.98</v>
      </c>
      <c r="O1092" s="78">
        <v>137.96</v>
      </c>
      <c r="P1092" s="72">
        <v>180</v>
      </c>
      <c r="Q1092" s="256">
        <f t="shared" si="216"/>
        <v>39.6</v>
      </c>
      <c r="R1092" s="256">
        <f t="shared" si="217"/>
        <v>219.6</v>
      </c>
      <c r="S1092" s="296"/>
      <c r="T1092" s="3">
        <v>47</v>
      </c>
      <c r="U1092" s="293"/>
    </row>
    <row r="1093" spans="1:21" ht="15" customHeight="1" x14ac:dyDescent="0.35">
      <c r="A1093" s="218" t="s">
        <v>3418</v>
      </c>
      <c r="B1093" s="3">
        <v>1043</v>
      </c>
      <c r="C1093" s="44">
        <v>10041166</v>
      </c>
      <c r="D1093" s="18" t="s">
        <v>1608</v>
      </c>
      <c r="E1093" s="18" t="s">
        <v>2027</v>
      </c>
      <c r="F1093" s="12">
        <v>19</v>
      </c>
      <c r="G1093" s="3" t="s">
        <v>0</v>
      </c>
      <c r="H1093" s="39">
        <v>40544</v>
      </c>
      <c r="I1093" s="27" t="s">
        <v>984</v>
      </c>
      <c r="J1093" s="4" t="s">
        <v>1962</v>
      </c>
      <c r="K1093" s="4" t="s">
        <v>988</v>
      </c>
      <c r="L1093" s="29" t="s">
        <v>977</v>
      </c>
      <c r="M1093" s="78">
        <f t="shared" si="218"/>
        <v>1980.49</v>
      </c>
      <c r="N1093" s="78">
        <f t="shared" si="219"/>
        <v>104.24</v>
      </c>
      <c r="O1093" s="78">
        <v>1980.49</v>
      </c>
      <c r="P1093" s="72">
        <v>2630</v>
      </c>
      <c r="Q1093" s="256">
        <f t="shared" si="216"/>
        <v>578.6</v>
      </c>
      <c r="R1093" s="256">
        <f t="shared" si="217"/>
        <v>3208.6</v>
      </c>
      <c r="S1093" s="296"/>
      <c r="T1093" s="3">
        <v>47</v>
      </c>
      <c r="U1093" s="293"/>
    </row>
    <row r="1094" spans="1:21" ht="30" customHeight="1" x14ac:dyDescent="0.35">
      <c r="A1094" s="218" t="s">
        <v>3419</v>
      </c>
      <c r="B1094" s="3">
        <v>1044</v>
      </c>
      <c r="C1094" s="44">
        <v>10041176</v>
      </c>
      <c r="D1094" s="18" t="s">
        <v>1609</v>
      </c>
      <c r="E1094" s="18" t="s">
        <v>2027</v>
      </c>
      <c r="F1094" s="12">
        <v>9</v>
      </c>
      <c r="G1094" s="3" t="s">
        <v>0</v>
      </c>
      <c r="H1094" s="39">
        <v>41479</v>
      </c>
      <c r="I1094" s="27" t="s">
        <v>984</v>
      </c>
      <c r="J1094" s="4" t="s">
        <v>1962</v>
      </c>
      <c r="K1094" s="4" t="s">
        <v>988</v>
      </c>
      <c r="L1094" s="29" t="s">
        <v>977</v>
      </c>
      <c r="M1094" s="78">
        <f t="shared" si="218"/>
        <v>740.75</v>
      </c>
      <c r="N1094" s="78">
        <f t="shared" si="219"/>
        <v>82.31</v>
      </c>
      <c r="O1094" s="78">
        <v>740.75</v>
      </c>
      <c r="P1094" s="72">
        <v>940</v>
      </c>
      <c r="Q1094" s="256">
        <f t="shared" si="216"/>
        <v>206.8</v>
      </c>
      <c r="R1094" s="256">
        <f t="shared" si="217"/>
        <v>1146.8</v>
      </c>
      <c r="S1094" s="296"/>
      <c r="T1094" s="3">
        <v>47</v>
      </c>
      <c r="U1094" s="293"/>
    </row>
    <row r="1095" spans="1:21" ht="15" customHeight="1" x14ac:dyDescent="0.35">
      <c r="A1095" s="218" t="s">
        <v>3420</v>
      </c>
      <c r="B1095" s="3">
        <v>1045</v>
      </c>
      <c r="C1095" s="44">
        <v>10041175</v>
      </c>
      <c r="D1095" s="18" t="s">
        <v>1610</v>
      </c>
      <c r="E1095" s="18" t="s">
        <v>2027</v>
      </c>
      <c r="F1095" s="12">
        <v>9</v>
      </c>
      <c r="G1095" s="3" t="s">
        <v>0</v>
      </c>
      <c r="H1095" s="39">
        <v>41479</v>
      </c>
      <c r="I1095" s="27" t="s">
        <v>984</v>
      </c>
      <c r="J1095" s="4" t="s">
        <v>1962</v>
      </c>
      <c r="K1095" s="4" t="s">
        <v>988</v>
      </c>
      <c r="L1095" s="29" t="s">
        <v>977</v>
      </c>
      <c r="M1095" s="78">
        <f t="shared" si="218"/>
        <v>750.61</v>
      </c>
      <c r="N1095" s="78">
        <f t="shared" si="219"/>
        <v>83.4</v>
      </c>
      <c r="O1095" s="78">
        <v>750.61</v>
      </c>
      <c r="P1095" s="72">
        <v>950</v>
      </c>
      <c r="Q1095" s="256">
        <f t="shared" si="216"/>
        <v>209</v>
      </c>
      <c r="R1095" s="256">
        <f t="shared" si="217"/>
        <v>1159</v>
      </c>
      <c r="S1095" s="296"/>
      <c r="T1095" s="3">
        <v>47</v>
      </c>
      <c r="U1095" s="293"/>
    </row>
    <row r="1096" spans="1:21" ht="15" customHeight="1" x14ac:dyDescent="0.35">
      <c r="A1096" s="218" t="s">
        <v>3421</v>
      </c>
      <c r="B1096" s="3">
        <v>1046</v>
      </c>
      <c r="C1096" s="44">
        <v>10121299</v>
      </c>
      <c r="D1096" s="18" t="s">
        <v>1611</v>
      </c>
      <c r="E1096" s="18" t="s">
        <v>2027</v>
      </c>
      <c r="F1096" s="12">
        <v>5</v>
      </c>
      <c r="G1096" s="3" t="s">
        <v>0</v>
      </c>
      <c r="H1096" s="39">
        <v>41310</v>
      </c>
      <c r="I1096" s="27" t="s">
        <v>984</v>
      </c>
      <c r="J1096" s="4" t="s">
        <v>1962</v>
      </c>
      <c r="K1096" s="4" t="s">
        <v>988</v>
      </c>
      <c r="L1096" s="29" t="s">
        <v>977</v>
      </c>
      <c r="M1096" s="78">
        <f t="shared" si="218"/>
        <v>375.65</v>
      </c>
      <c r="N1096" s="78">
        <f t="shared" si="219"/>
        <v>75.13</v>
      </c>
      <c r="O1096" s="78">
        <v>375.65</v>
      </c>
      <c r="P1096" s="72">
        <v>480</v>
      </c>
      <c r="Q1096" s="256">
        <f t="shared" si="216"/>
        <v>105.6</v>
      </c>
      <c r="R1096" s="256">
        <f t="shared" si="217"/>
        <v>585.6</v>
      </c>
      <c r="S1096" s="296"/>
      <c r="T1096" s="3">
        <v>47</v>
      </c>
      <c r="U1096" s="293"/>
    </row>
    <row r="1097" spans="1:21" ht="15" customHeight="1" x14ac:dyDescent="0.35">
      <c r="A1097" s="218" t="s">
        <v>3422</v>
      </c>
      <c r="B1097" s="3">
        <v>1047</v>
      </c>
      <c r="C1097" s="44">
        <v>10041173</v>
      </c>
      <c r="D1097" s="18" t="s">
        <v>1612</v>
      </c>
      <c r="E1097" s="18" t="s">
        <v>2027</v>
      </c>
      <c r="F1097" s="12">
        <v>24</v>
      </c>
      <c r="G1097" s="3" t="s">
        <v>0</v>
      </c>
      <c r="H1097" s="39">
        <v>40863</v>
      </c>
      <c r="I1097" s="27" t="s">
        <v>984</v>
      </c>
      <c r="J1097" s="4" t="s">
        <v>1962</v>
      </c>
      <c r="K1097" s="4" t="s">
        <v>988</v>
      </c>
      <c r="L1097" s="29" t="s">
        <v>977</v>
      </c>
      <c r="M1097" s="78">
        <f t="shared" si="218"/>
        <v>2100.84</v>
      </c>
      <c r="N1097" s="78">
        <f t="shared" si="219"/>
        <v>87.54</v>
      </c>
      <c r="O1097" s="78">
        <v>2100.84</v>
      </c>
      <c r="P1097" s="72">
        <v>2640</v>
      </c>
      <c r="Q1097" s="256">
        <f t="shared" si="216"/>
        <v>580.79999999999995</v>
      </c>
      <c r="R1097" s="256">
        <f t="shared" si="217"/>
        <v>3220.8</v>
      </c>
      <c r="S1097" s="296"/>
      <c r="T1097" s="3">
        <v>47</v>
      </c>
      <c r="U1097" s="293"/>
    </row>
    <row r="1098" spans="1:21" ht="30" customHeight="1" x14ac:dyDescent="0.35">
      <c r="A1098" s="218" t="s">
        <v>3423</v>
      </c>
      <c r="B1098" s="3">
        <v>1048</v>
      </c>
      <c r="C1098" s="44">
        <v>10041174</v>
      </c>
      <c r="D1098" s="18" t="s">
        <v>1613</v>
      </c>
      <c r="E1098" s="18" t="s">
        <v>2027</v>
      </c>
      <c r="F1098" s="12">
        <v>3</v>
      </c>
      <c r="G1098" s="3" t="s">
        <v>0</v>
      </c>
      <c r="H1098" s="39">
        <v>41310</v>
      </c>
      <c r="I1098" s="27" t="s">
        <v>984</v>
      </c>
      <c r="J1098" s="4" t="s">
        <v>1962</v>
      </c>
      <c r="K1098" s="4" t="s">
        <v>988</v>
      </c>
      <c r="L1098" s="29" t="s">
        <v>977</v>
      </c>
      <c r="M1098" s="78">
        <f t="shared" si="218"/>
        <v>232.5</v>
      </c>
      <c r="N1098" s="78">
        <f t="shared" si="219"/>
        <v>77.5</v>
      </c>
      <c r="O1098" s="78">
        <v>232.5</v>
      </c>
      <c r="P1098" s="72">
        <v>300</v>
      </c>
      <c r="Q1098" s="256">
        <f t="shared" si="216"/>
        <v>66</v>
      </c>
      <c r="R1098" s="256">
        <f t="shared" si="217"/>
        <v>366</v>
      </c>
      <c r="S1098" s="296"/>
      <c r="T1098" s="3">
        <v>47</v>
      </c>
      <c r="U1098" s="293"/>
    </row>
    <row r="1099" spans="1:21" ht="15" customHeight="1" x14ac:dyDescent="0.35">
      <c r="A1099" s="218" t="s">
        <v>3424</v>
      </c>
      <c r="B1099" s="3">
        <v>1049</v>
      </c>
      <c r="C1099" s="44">
        <v>10092294</v>
      </c>
      <c r="D1099" s="18" t="s">
        <v>1614</v>
      </c>
      <c r="E1099" s="18" t="s">
        <v>2027</v>
      </c>
      <c r="F1099" s="12">
        <v>2</v>
      </c>
      <c r="G1099" s="3" t="s">
        <v>0</v>
      </c>
      <c r="H1099" s="39">
        <v>41310</v>
      </c>
      <c r="I1099" s="27" t="s">
        <v>984</v>
      </c>
      <c r="J1099" s="4" t="s">
        <v>1962</v>
      </c>
      <c r="K1099" s="4" t="s">
        <v>988</v>
      </c>
      <c r="L1099" s="29" t="s">
        <v>977</v>
      </c>
      <c r="M1099" s="78">
        <f t="shared" si="218"/>
        <v>301.44</v>
      </c>
      <c r="N1099" s="78">
        <f t="shared" si="219"/>
        <v>150.72</v>
      </c>
      <c r="O1099" s="78">
        <v>301.44</v>
      </c>
      <c r="P1099" s="72">
        <v>390</v>
      </c>
      <c r="Q1099" s="256">
        <f t="shared" si="216"/>
        <v>85.8</v>
      </c>
      <c r="R1099" s="256">
        <f t="shared" si="217"/>
        <v>475.8</v>
      </c>
      <c r="S1099" s="296"/>
      <c r="T1099" s="3">
        <v>47</v>
      </c>
      <c r="U1099" s="293"/>
    </row>
    <row r="1100" spans="1:21" ht="15" customHeight="1" x14ac:dyDescent="0.35">
      <c r="A1100" s="218" t="s">
        <v>3425</v>
      </c>
      <c r="B1100" s="3">
        <v>1050</v>
      </c>
      <c r="C1100" s="44">
        <v>10092300</v>
      </c>
      <c r="D1100" s="18" t="s">
        <v>1615</v>
      </c>
      <c r="E1100" s="18" t="s">
        <v>2027</v>
      </c>
      <c r="F1100" s="12">
        <v>13</v>
      </c>
      <c r="G1100" s="3" t="s">
        <v>0</v>
      </c>
      <c r="H1100" s="39">
        <v>40927</v>
      </c>
      <c r="I1100" s="27" t="s">
        <v>984</v>
      </c>
      <c r="J1100" s="4" t="s">
        <v>1962</v>
      </c>
      <c r="K1100" s="4" t="s">
        <v>988</v>
      </c>
      <c r="L1100" s="29" t="s">
        <v>977</v>
      </c>
      <c r="M1100" s="78">
        <f t="shared" si="218"/>
        <v>1441.52</v>
      </c>
      <c r="N1100" s="78">
        <f t="shared" si="219"/>
        <v>110.89</v>
      </c>
      <c r="O1100" s="78">
        <v>1441.52</v>
      </c>
      <c r="P1100" s="72">
        <v>1890</v>
      </c>
      <c r="Q1100" s="256">
        <f t="shared" si="216"/>
        <v>415.8</v>
      </c>
      <c r="R1100" s="256">
        <f t="shared" si="217"/>
        <v>2305.8000000000002</v>
      </c>
      <c r="S1100" s="296"/>
      <c r="T1100" s="3">
        <v>47</v>
      </c>
      <c r="U1100" s="293"/>
    </row>
    <row r="1101" spans="1:21" ht="30" customHeight="1" x14ac:dyDescent="0.35">
      <c r="A1101" s="218" t="s">
        <v>3426</v>
      </c>
      <c r="B1101" s="3">
        <v>1051</v>
      </c>
      <c r="C1101" s="44">
        <v>10125409</v>
      </c>
      <c r="D1101" s="18" t="s">
        <v>1616</v>
      </c>
      <c r="E1101" s="18" t="s">
        <v>2027</v>
      </c>
      <c r="F1101" s="12">
        <v>3</v>
      </c>
      <c r="G1101" s="3" t="s">
        <v>0</v>
      </c>
      <c r="H1101" s="39">
        <v>41310</v>
      </c>
      <c r="I1101" s="27" t="s">
        <v>984</v>
      </c>
      <c r="J1101" s="4" t="s">
        <v>1962</v>
      </c>
      <c r="K1101" s="4" t="s">
        <v>988</v>
      </c>
      <c r="L1101" s="29" t="s">
        <v>977</v>
      </c>
      <c r="M1101" s="78">
        <f t="shared" si="218"/>
        <v>274.5</v>
      </c>
      <c r="N1101" s="78">
        <f t="shared" si="219"/>
        <v>91.5</v>
      </c>
      <c r="O1101" s="78">
        <v>274.5</v>
      </c>
      <c r="P1101" s="72">
        <v>350</v>
      </c>
      <c r="Q1101" s="256">
        <f t="shared" si="216"/>
        <v>77</v>
      </c>
      <c r="R1101" s="256">
        <f t="shared" si="217"/>
        <v>427</v>
      </c>
      <c r="S1101" s="296"/>
      <c r="T1101" s="3">
        <v>47</v>
      </c>
      <c r="U1101" s="293"/>
    </row>
    <row r="1102" spans="1:21" ht="30" customHeight="1" x14ac:dyDescent="0.35">
      <c r="A1102" s="218" t="s">
        <v>3427</v>
      </c>
      <c r="B1102" s="3">
        <v>1052</v>
      </c>
      <c r="C1102" s="44">
        <v>10092295</v>
      </c>
      <c r="D1102" s="18" t="s">
        <v>1617</v>
      </c>
      <c r="E1102" s="18" t="s">
        <v>2027</v>
      </c>
      <c r="F1102" s="12">
        <f>50-46</f>
        <v>4</v>
      </c>
      <c r="G1102" s="3" t="s">
        <v>0</v>
      </c>
      <c r="H1102" s="39">
        <v>41479</v>
      </c>
      <c r="I1102" s="27" t="s">
        <v>984</v>
      </c>
      <c r="J1102" s="4" t="s">
        <v>1962</v>
      </c>
      <c r="K1102" s="4" t="s">
        <v>988</v>
      </c>
      <c r="L1102" s="29" t="s">
        <v>977</v>
      </c>
      <c r="M1102" s="78">
        <f t="shared" si="218"/>
        <v>256.87</v>
      </c>
      <c r="N1102" s="78">
        <f t="shared" si="219"/>
        <v>64.22</v>
      </c>
      <c r="O1102" s="78">
        <f>3210.82/50*4</f>
        <v>256.87</v>
      </c>
      <c r="P1102" s="72">
        <v>330</v>
      </c>
      <c r="Q1102" s="256">
        <f t="shared" si="216"/>
        <v>72.599999999999994</v>
      </c>
      <c r="R1102" s="256">
        <f t="shared" si="217"/>
        <v>402.6</v>
      </c>
      <c r="S1102" s="296"/>
      <c r="T1102" s="3">
        <v>47</v>
      </c>
      <c r="U1102" s="293"/>
    </row>
    <row r="1103" spans="1:21" ht="30" customHeight="1" x14ac:dyDescent="0.35">
      <c r="A1103" s="218" t="s">
        <v>4095</v>
      </c>
      <c r="B1103" s="3">
        <v>1053</v>
      </c>
      <c r="C1103" s="44">
        <v>10092295</v>
      </c>
      <c r="D1103" s="18" t="s">
        <v>1617</v>
      </c>
      <c r="E1103" s="18" t="s">
        <v>2219</v>
      </c>
      <c r="F1103" s="12">
        <v>46</v>
      </c>
      <c r="G1103" s="3" t="s">
        <v>0</v>
      </c>
      <c r="H1103" s="39">
        <v>41479</v>
      </c>
      <c r="I1103" s="27" t="s">
        <v>984</v>
      </c>
      <c r="J1103" s="4" t="s">
        <v>1962</v>
      </c>
      <c r="K1103" s="4" t="s">
        <v>988</v>
      </c>
      <c r="L1103" s="29" t="s">
        <v>871</v>
      </c>
      <c r="M1103" s="78">
        <f t="shared" si="218"/>
        <v>2953.95</v>
      </c>
      <c r="N1103" s="78">
        <f t="shared" si="219"/>
        <v>64.22</v>
      </c>
      <c r="O1103" s="78">
        <v>2953.95</v>
      </c>
      <c r="P1103" s="72">
        <v>2210</v>
      </c>
      <c r="Q1103" s="256">
        <f t="shared" si="216"/>
        <v>486.2</v>
      </c>
      <c r="R1103" s="256">
        <f t="shared" si="217"/>
        <v>2696.2</v>
      </c>
      <c r="S1103" s="296"/>
      <c r="T1103" s="3">
        <v>47</v>
      </c>
      <c r="U1103" s="293"/>
    </row>
    <row r="1104" spans="1:21" ht="15" customHeight="1" x14ac:dyDescent="0.35">
      <c r="A1104" s="218" t="s">
        <v>3428</v>
      </c>
      <c r="B1104" s="3">
        <v>1054</v>
      </c>
      <c r="C1104" s="44">
        <v>10092299</v>
      </c>
      <c r="D1104" s="18" t="s">
        <v>1618</v>
      </c>
      <c r="E1104" s="18" t="s">
        <v>2027</v>
      </c>
      <c r="F1104" s="12">
        <f>80-65</f>
        <v>15</v>
      </c>
      <c r="G1104" s="3" t="s">
        <v>0</v>
      </c>
      <c r="H1104" s="39">
        <v>42265</v>
      </c>
      <c r="I1104" s="27" t="s">
        <v>984</v>
      </c>
      <c r="J1104" s="4" t="s">
        <v>1962</v>
      </c>
      <c r="K1104" s="4" t="s">
        <v>988</v>
      </c>
      <c r="L1104" s="29" t="s">
        <v>977</v>
      </c>
      <c r="M1104" s="78">
        <f t="shared" si="218"/>
        <v>547.48</v>
      </c>
      <c r="N1104" s="78">
        <f t="shared" si="219"/>
        <v>36.5</v>
      </c>
      <c r="O1104" s="78">
        <f>2919.87/80*15</f>
        <v>547.48</v>
      </c>
      <c r="P1104" s="72">
        <v>600</v>
      </c>
      <c r="Q1104" s="256">
        <f t="shared" si="216"/>
        <v>132</v>
      </c>
      <c r="R1104" s="256">
        <f t="shared" si="217"/>
        <v>732</v>
      </c>
      <c r="S1104" s="296"/>
      <c r="T1104" s="3">
        <v>47</v>
      </c>
      <c r="U1104" s="293"/>
    </row>
    <row r="1105" spans="1:21" ht="15" customHeight="1" x14ac:dyDescent="0.35">
      <c r="A1105" s="218" t="s">
        <v>4096</v>
      </c>
      <c r="B1105" s="3">
        <v>1055</v>
      </c>
      <c r="C1105" s="44">
        <v>10092299</v>
      </c>
      <c r="D1105" s="18" t="s">
        <v>1618</v>
      </c>
      <c r="E1105" s="18" t="s">
        <v>2219</v>
      </c>
      <c r="F1105" s="12">
        <v>65</v>
      </c>
      <c r="G1105" s="3" t="s">
        <v>0</v>
      </c>
      <c r="H1105" s="39">
        <v>42265</v>
      </c>
      <c r="I1105" s="27" t="s">
        <v>984</v>
      </c>
      <c r="J1105" s="4" t="s">
        <v>1962</v>
      </c>
      <c r="K1105" s="4" t="s">
        <v>988</v>
      </c>
      <c r="L1105" s="29" t="s">
        <v>871</v>
      </c>
      <c r="M1105" s="78">
        <f t="shared" si="218"/>
        <v>2372.39</v>
      </c>
      <c r="N1105" s="78">
        <f t="shared" si="219"/>
        <v>36.5</v>
      </c>
      <c r="O1105" s="78">
        <v>2372.39</v>
      </c>
      <c r="P1105" s="72">
        <v>1540</v>
      </c>
      <c r="Q1105" s="256">
        <f t="shared" si="216"/>
        <v>338.8</v>
      </c>
      <c r="R1105" s="256">
        <f t="shared" si="217"/>
        <v>1878.8</v>
      </c>
      <c r="S1105" s="296"/>
      <c r="T1105" s="3">
        <v>47</v>
      </c>
      <c r="U1105" s="293"/>
    </row>
    <row r="1106" spans="1:21" ht="15" customHeight="1" x14ac:dyDescent="0.35">
      <c r="A1106" s="218" t="s">
        <v>3429</v>
      </c>
      <c r="B1106" s="3">
        <v>1056</v>
      </c>
      <c r="C1106" s="44">
        <v>10092298</v>
      </c>
      <c r="D1106" s="18" t="s">
        <v>1619</v>
      </c>
      <c r="E1106" s="18" t="s">
        <v>2027</v>
      </c>
      <c r="F1106" s="12">
        <v>23</v>
      </c>
      <c r="G1106" s="3" t="s">
        <v>0</v>
      </c>
      <c r="H1106" s="39">
        <v>41479</v>
      </c>
      <c r="I1106" s="27" t="s">
        <v>984</v>
      </c>
      <c r="J1106" s="4" t="s">
        <v>1962</v>
      </c>
      <c r="K1106" s="4" t="s">
        <v>988</v>
      </c>
      <c r="L1106" s="29" t="s">
        <v>977</v>
      </c>
      <c r="M1106" s="78">
        <f t="shared" si="218"/>
        <v>1086.3699999999999</v>
      </c>
      <c r="N1106" s="78">
        <f t="shared" si="219"/>
        <v>47.23</v>
      </c>
      <c r="O1106" s="78">
        <v>1086.3699999999999</v>
      </c>
      <c r="P1106" s="72">
        <v>1380</v>
      </c>
      <c r="Q1106" s="256">
        <f t="shared" si="216"/>
        <v>303.60000000000002</v>
      </c>
      <c r="R1106" s="256">
        <f t="shared" si="217"/>
        <v>1683.6</v>
      </c>
      <c r="S1106" s="296"/>
      <c r="T1106" s="3">
        <v>47</v>
      </c>
      <c r="U1106" s="293"/>
    </row>
    <row r="1107" spans="1:21" ht="15" customHeight="1" x14ac:dyDescent="0.35">
      <c r="A1107" s="218" t="s">
        <v>3430</v>
      </c>
      <c r="B1107" s="3">
        <v>1057</v>
      </c>
      <c r="C1107" s="44">
        <v>10092293</v>
      </c>
      <c r="D1107" s="18" t="s">
        <v>1620</v>
      </c>
      <c r="E1107" s="18" t="s">
        <v>2027</v>
      </c>
      <c r="F1107" s="12">
        <v>24</v>
      </c>
      <c r="G1107" s="3" t="s">
        <v>0</v>
      </c>
      <c r="H1107" s="39">
        <v>41479</v>
      </c>
      <c r="I1107" s="27" t="s">
        <v>984</v>
      </c>
      <c r="J1107" s="4" t="s">
        <v>1962</v>
      </c>
      <c r="K1107" s="4" t="s">
        <v>988</v>
      </c>
      <c r="L1107" s="29" t="s">
        <v>977</v>
      </c>
      <c r="M1107" s="78">
        <f t="shared" si="218"/>
        <v>1095.4000000000001</v>
      </c>
      <c r="N1107" s="78">
        <f t="shared" si="219"/>
        <v>45.64</v>
      </c>
      <c r="O1107" s="78">
        <v>1095.4000000000001</v>
      </c>
      <c r="P1107" s="72">
        <v>1390</v>
      </c>
      <c r="Q1107" s="256">
        <f t="shared" ref="Q1107:Q1138" si="220">R1107-P1107</f>
        <v>305.8</v>
      </c>
      <c r="R1107" s="256">
        <f t="shared" ref="R1107:R1138" si="221">P1107*1.22</f>
        <v>1695.8</v>
      </c>
      <c r="S1107" s="296"/>
      <c r="T1107" s="3">
        <v>47</v>
      </c>
      <c r="U1107" s="293"/>
    </row>
    <row r="1108" spans="1:21" ht="30" customHeight="1" x14ac:dyDescent="0.35">
      <c r="A1108" s="218" t="s">
        <v>3431</v>
      </c>
      <c r="B1108" s="3">
        <v>1058</v>
      </c>
      <c r="C1108" s="44">
        <v>10107635</v>
      </c>
      <c r="D1108" s="18" t="s">
        <v>1621</v>
      </c>
      <c r="E1108" s="18" t="s">
        <v>2027</v>
      </c>
      <c r="F1108" s="12">
        <v>63</v>
      </c>
      <c r="G1108" s="3" t="s">
        <v>0</v>
      </c>
      <c r="H1108" s="39">
        <v>41310</v>
      </c>
      <c r="I1108" s="27" t="s">
        <v>984</v>
      </c>
      <c r="J1108" s="4" t="s">
        <v>1962</v>
      </c>
      <c r="K1108" s="4" t="s">
        <v>988</v>
      </c>
      <c r="L1108" s="29" t="s">
        <v>977</v>
      </c>
      <c r="M1108" s="78">
        <f t="shared" si="218"/>
        <v>12051.9</v>
      </c>
      <c r="N1108" s="78">
        <f t="shared" si="219"/>
        <v>191.3</v>
      </c>
      <c r="O1108" s="78">
        <v>12051.9</v>
      </c>
      <c r="P1108" s="72">
        <v>15400</v>
      </c>
      <c r="Q1108" s="256">
        <f t="shared" si="220"/>
        <v>3388</v>
      </c>
      <c r="R1108" s="256">
        <f t="shared" si="221"/>
        <v>18788</v>
      </c>
      <c r="S1108" s="296"/>
      <c r="T1108" s="3">
        <v>47</v>
      </c>
      <c r="U1108" s="293"/>
    </row>
    <row r="1109" spans="1:21" ht="15" customHeight="1" x14ac:dyDescent="0.35">
      <c r="A1109" s="218" t="s">
        <v>3432</v>
      </c>
      <c r="B1109" s="3">
        <v>1059</v>
      </c>
      <c r="C1109" s="44">
        <v>10043896</v>
      </c>
      <c r="D1109" s="18" t="s">
        <v>1622</v>
      </c>
      <c r="E1109" s="18" t="s">
        <v>2027</v>
      </c>
      <c r="F1109" s="12">
        <v>54</v>
      </c>
      <c r="G1109" s="3" t="s">
        <v>0</v>
      </c>
      <c r="H1109" s="39">
        <v>42583</v>
      </c>
      <c r="I1109" s="27" t="s">
        <v>984</v>
      </c>
      <c r="J1109" s="4" t="s">
        <v>1962</v>
      </c>
      <c r="K1109" s="4" t="s">
        <v>988</v>
      </c>
      <c r="L1109" s="29" t="s">
        <v>977</v>
      </c>
      <c r="M1109" s="78">
        <f t="shared" si="218"/>
        <v>3844.72</v>
      </c>
      <c r="N1109" s="78">
        <f t="shared" si="219"/>
        <v>71.2</v>
      </c>
      <c r="O1109" s="78">
        <v>3844.72</v>
      </c>
      <c r="P1109" s="72">
        <v>4090</v>
      </c>
      <c r="Q1109" s="256">
        <f t="shared" si="220"/>
        <v>899.8</v>
      </c>
      <c r="R1109" s="256">
        <f t="shared" si="221"/>
        <v>4989.8</v>
      </c>
      <c r="S1109" s="296"/>
      <c r="T1109" s="3">
        <v>47</v>
      </c>
      <c r="U1109" s="293"/>
    </row>
    <row r="1110" spans="1:21" ht="15" customHeight="1" x14ac:dyDescent="0.35">
      <c r="A1110" s="218" t="s">
        <v>3433</v>
      </c>
      <c r="B1110" s="3">
        <v>1060</v>
      </c>
      <c r="C1110" s="44">
        <v>10043271</v>
      </c>
      <c r="D1110" s="18" t="s">
        <v>1623</v>
      </c>
      <c r="E1110" s="18" t="s">
        <v>2219</v>
      </c>
      <c r="F1110" s="12">
        <f>66-10</f>
        <v>56</v>
      </c>
      <c r="G1110" s="3" t="s">
        <v>0</v>
      </c>
      <c r="H1110" s="39">
        <v>42583</v>
      </c>
      <c r="I1110" s="27" t="s">
        <v>984</v>
      </c>
      <c r="J1110" s="4" t="s">
        <v>1962</v>
      </c>
      <c r="K1110" s="4" t="s">
        <v>988</v>
      </c>
      <c r="L1110" s="29" t="s">
        <v>977</v>
      </c>
      <c r="M1110" s="78">
        <f t="shared" si="218"/>
        <v>7341.77</v>
      </c>
      <c r="N1110" s="78">
        <f t="shared" si="219"/>
        <v>131.1</v>
      </c>
      <c r="O1110" s="78">
        <f>8652.8/66*56</f>
        <v>7341.77</v>
      </c>
      <c r="P1110" s="72">
        <v>7800</v>
      </c>
      <c r="Q1110" s="256">
        <f t="shared" si="220"/>
        <v>1716</v>
      </c>
      <c r="R1110" s="256">
        <f t="shared" si="221"/>
        <v>9516</v>
      </c>
      <c r="S1110" s="296"/>
      <c r="T1110" s="3">
        <v>47</v>
      </c>
      <c r="U1110" s="293"/>
    </row>
    <row r="1111" spans="1:21" ht="25.5" customHeight="1" x14ac:dyDescent="0.35">
      <c r="A1111" s="218" t="s">
        <v>3434</v>
      </c>
      <c r="B1111" s="3">
        <v>1061</v>
      </c>
      <c r="C1111" s="44">
        <v>10043266</v>
      </c>
      <c r="D1111" s="18" t="s">
        <v>1627</v>
      </c>
      <c r="E1111" s="18" t="s">
        <v>2219</v>
      </c>
      <c r="F1111" s="12">
        <f>21-10</f>
        <v>11</v>
      </c>
      <c r="G1111" s="3" t="s">
        <v>0</v>
      </c>
      <c r="H1111" s="39">
        <v>41479</v>
      </c>
      <c r="I1111" s="27" t="s">
        <v>984</v>
      </c>
      <c r="J1111" s="4" t="s">
        <v>1962</v>
      </c>
      <c r="K1111" s="4" t="s">
        <v>988</v>
      </c>
      <c r="L1111" s="29" t="s">
        <v>977</v>
      </c>
      <c r="M1111" s="78">
        <f t="shared" si="218"/>
        <v>3351.97</v>
      </c>
      <c r="N1111" s="78">
        <f t="shared" si="219"/>
        <v>304.72000000000003</v>
      </c>
      <c r="O1111" s="78">
        <f>6399.22/21*11</f>
        <v>3351.97</v>
      </c>
      <c r="P1111" s="72">
        <v>4260</v>
      </c>
      <c r="Q1111" s="256">
        <f t="shared" si="220"/>
        <v>937.2</v>
      </c>
      <c r="R1111" s="256">
        <f t="shared" si="221"/>
        <v>5197.2</v>
      </c>
      <c r="S1111" s="296"/>
      <c r="T1111" s="3">
        <v>47</v>
      </c>
      <c r="U1111" s="293"/>
    </row>
    <row r="1112" spans="1:21" ht="15" customHeight="1" x14ac:dyDescent="0.35">
      <c r="A1112" s="218" t="s">
        <v>3435</v>
      </c>
      <c r="B1112" s="3">
        <v>1062</v>
      </c>
      <c r="C1112" s="44">
        <v>10107700</v>
      </c>
      <c r="D1112" s="18" t="s">
        <v>1628</v>
      </c>
      <c r="E1112" s="18" t="s">
        <v>2027</v>
      </c>
      <c r="F1112" s="12">
        <v>22</v>
      </c>
      <c r="G1112" s="3" t="s">
        <v>0</v>
      </c>
      <c r="H1112" s="39">
        <v>41310</v>
      </c>
      <c r="I1112" s="27" t="s">
        <v>984</v>
      </c>
      <c r="J1112" s="4" t="s">
        <v>1962</v>
      </c>
      <c r="K1112" s="4" t="s">
        <v>988</v>
      </c>
      <c r="L1112" s="29" t="s">
        <v>977</v>
      </c>
      <c r="M1112" s="78">
        <f t="shared" si="218"/>
        <v>9537.2199999999993</v>
      </c>
      <c r="N1112" s="78">
        <f t="shared" si="219"/>
        <v>433.51</v>
      </c>
      <c r="O1112" s="78">
        <v>9537.2199999999993</v>
      </c>
      <c r="P1112" s="72">
        <v>12190</v>
      </c>
      <c r="Q1112" s="256">
        <f t="shared" si="220"/>
        <v>2681.8</v>
      </c>
      <c r="R1112" s="256">
        <f t="shared" si="221"/>
        <v>14871.8</v>
      </c>
      <c r="S1112" s="296"/>
      <c r="T1112" s="3">
        <v>47</v>
      </c>
      <c r="U1112" s="293"/>
    </row>
    <row r="1113" spans="1:21" ht="15" customHeight="1" x14ac:dyDescent="0.35">
      <c r="A1113" s="218" t="s">
        <v>3436</v>
      </c>
      <c r="B1113" s="3">
        <v>1063</v>
      </c>
      <c r="C1113" s="44">
        <v>10093374</v>
      </c>
      <c r="D1113" s="18" t="s">
        <v>1629</v>
      </c>
      <c r="E1113" s="18" t="s">
        <v>2027</v>
      </c>
      <c r="F1113" s="12">
        <v>28</v>
      </c>
      <c r="G1113" s="3" t="s">
        <v>0</v>
      </c>
      <c r="H1113" s="39">
        <v>41479</v>
      </c>
      <c r="I1113" s="27" t="s">
        <v>984</v>
      </c>
      <c r="J1113" s="4" t="s">
        <v>1962</v>
      </c>
      <c r="K1113" s="4" t="s">
        <v>988</v>
      </c>
      <c r="L1113" s="29" t="s">
        <v>977</v>
      </c>
      <c r="M1113" s="78">
        <f t="shared" si="218"/>
        <v>5397.55</v>
      </c>
      <c r="N1113" s="78">
        <f t="shared" si="219"/>
        <v>192.77</v>
      </c>
      <c r="O1113" s="78">
        <v>5397.55</v>
      </c>
      <c r="P1113" s="72">
        <v>6870</v>
      </c>
      <c r="Q1113" s="256">
        <f t="shared" si="220"/>
        <v>1511.4</v>
      </c>
      <c r="R1113" s="256">
        <f t="shared" si="221"/>
        <v>8381.4</v>
      </c>
      <c r="S1113" s="296"/>
      <c r="T1113" s="3">
        <v>47</v>
      </c>
      <c r="U1113" s="293"/>
    </row>
    <row r="1114" spans="1:21" ht="15" customHeight="1" x14ac:dyDescent="0.35">
      <c r="A1114" s="218" t="s">
        <v>3437</v>
      </c>
      <c r="B1114" s="3">
        <v>1064</v>
      </c>
      <c r="C1114" s="44">
        <v>10093369</v>
      </c>
      <c r="D1114" s="18" t="s">
        <v>1630</v>
      </c>
      <c r="E1114" s="18" t="s">
        <v>2027</v>
      </c>
      <c r="F1114" s="12">
        <v>32</v>
      </c>
      <c r="G1114" s="3" t="s">
        <v>0</v>
      </c>
      <c r="H1114" s="39">
        <v>41431</v>
      </c>
      <c r="I1114" s="27" t="s">
        <v>984</v>
      </c>
      <c r="J1114" s="4" t="s">
        <v>1962</v>
      </c>
      <c r="K1114" s="4" t="s">
        <v>988</v>
      </c>
      <c r="L1114" s="29" t="s">
        <v>977</v>
      </c>
      <c r="M1114" s="78">
        <f t="shared" si="218"/>
        <v>4697.49</v>
      </c>
      <c r="N1114" s="78">
        <f t="shared" si="219"/>
        <v>146.80000000000001</v>
      </c>
      <c r="O1114" s="78">
        <v>4697.49</v>
      </c>
      <c r="P1114" s="72">
        <v>6020</v>
      </c>
      <c r="Q1114" s="256">
        <f t="shared" si="220"/>
        <v>1324.4</v>
      </c>
      <c r="R1114" s="256">
        <f t="shared" si="221"/>
        <v>7344.4</v>
      </c>
      <c r="S1114" s="296"/>
      <c r="T1114" s="3">
        <v>47</v>
      </c>
      <c r="U1114" s="293"/>
    </row>
    <row r="1115" spans="1:21" ht="15" customHeight="1" x14ac:dyDescent="0.35">
      <c r="A1115" s="218" t="s">
        <v>3438</v>
      </c>
      <c r="B1115" s="3">
        <v>1065</v>
      </c>
      <c r="C1115" s="44">
        <v>10093371</v>
      </c>
      <c r="D1115" s="18" t="s">
        <v>1631</v>
      </c>
      <c r="E1115" s="18" t="s">
        <v>2027</v>
      </c>
      <c r="F1115" s="12">
        <v>23</v>
      </c>
      <c r="G1115" s="3" t="s">
        <v>0</v>
      </c>
      <c r="H1115" s="39">
        <v>41479</v>
      </c>
      <c r="I1115" s="27" t="s">
        <v>984</v>
      </c>
      <c r="J1115" s="4" t="s">
        <v>1962</v>
      </c>
      <c r="K1115" s="4" t="s">
        <v>988</v>
      </c>
      <c r="L1115" s="29" t="s">
        <v>977</v>
      </c>
      <c r="M1115" s="78">
        <f t="shared" si="218"/>
        <v>4491.1899999999996</v>
      </c>
      <c r="N1115" s="78">
        <f t="shared" si="219"/>
        <v>195.27</v>
      </c>
      <c r="O1115" s="78">
        <v>4491.1899999999996</v>
      </c>
      <c r="P1115" s="72">
        <v>5710</v>
      </c>
      <c r="Q1115" s="256">
        <f t="shared" si="220"/>
        <v>1256.2</v>
      </c>
      <c r="R1115" s="256">
        <f t="shared" si="221"/>
        <v>6966.2</v>
      </c>
      <c r="S1115" s="296"/>
      <c r="T1115" s="3">
        <v>47</v>
      </c>
      <c r="U1115" s="293"/>
    </row>
    <row r="1116" spans="1:21" ht="15" customHeight="1" x14ac:dyDescent="0.35">
      <c r="A1116" s="218" t="s">
        <v>3439</v>
      </c>
      <c r="B1116" s="3">
        <v>1066</v>
      </c>
      <c r="C1116" s="44">
        <v>10112833</v>
      </c>
      <c r="D1116" s="18" t="s">
        <v>1632</v>
      </c>
      <c r="E1116" s="18" t="s">
        <v>2027</v>
      </c>
      <c r="F1116" s="12">
        <v>10</v>
      </c>
      <c r="G1116" s="3" t="s">
        <v>17</v>
      </c>
      <c r="H1116" s="39">
        <v>40424</v>
      </c>
      <c r="I1116" s="27" t="s">
        <v>984</v>
      </c>
      <c r="J1116" s="4" t="s">
        <v>1962</v>
      </c>
      <c r="K1116" s="4" t="s">
        <v>988</v>
      </c>
      <c r="L1116" s="29" t="s">
        <v>977</v>
      </c>
      <c r="M1116" s="78">
        <f t="shared" si="218"/>
        <v>3901.8</v>
      </c>
      <c r="N1116" s="78">
        <f t="shared" si="219"/>
        <v>390.18</v>
      </c>
      <c r="O1116" s="78">
        <v>3901.8</v>
      </c>
      <c r="P1116" s="72">
        <v>5300</v>
      </c>
      <c r="Q1116" s="256">
        <f t="shared" si="220"/>
        <v>1166</v>
      </c>
      <c r="R1116" s="256">
        <f t="shared" si="221"/>
        <v>6466</v>
      </c>
      <c r="S1116" s="296"/>
      <c r="T1116" s="3">
        <v>47</v>
      </c>
      <c r="U1116" s="293"/>
    </row>
    <row r="1117" spans="1:21" ht="15" customHeight="1" x14ac:dyDescent="0.35">
      <c r="A1117" s="218" t="s">
        <v>3440</v>
      </c>
      <c r="B1117" s="3">
        <v>1067</v>
      </c>
      <c r="C1117" s="44">
        <v>10102297</v>
      </c>
      <c r="D1117" s="18" t="s">
        <v>1669</v>
      </c>
      <c r="E1117" s="18" t="s">
        <v>2027</v>
      </c>
      <c r="F1117" s="12">
        <v>5</v>
      </c>
      <c r="G1117" s="3" t="s">
        <v>0</v>
      </c>
      <c r="H1117" s="39">
        <v>41479</v>
      </c>
      <c r="I1117" s="27" t="s">
        <v>984</v>
      </c>
      <c r="J1117" s="4" t="s">
        <v>1962</v>
      </c>
      <c r="K1117" s="4" t="s">
        <v>988</v>
      </c>
      <c r="L1117" s="29" t="s">
        <v>977</v>
      </c>
      <c r="M1117" s="78">
        <f t="shared" si="218"/>
        <v>1817.9</v>
      </c>
      <c r="N1117" s="78">
        <f t="shared" ref="N1117:N1147" si="222">O1117/F1117</f>
        <v>363.58</v>
      </c>
      <c r="O1117" s="78">
        <v>1817.9</v>
      </c>
      <c r="P1117" s="72">
        <v>2160</v>
      </c>
      <c r="Q1117" s="256">
        <f t="shared" si="220"/>
        <v>475.2</v>
      </c>
      <c r="R1117" s="256">
        <f t="shared" si="221"/>
        <v>2635.2</v>
      </c>
      <c r="S1117" s="296"/>
      <c r="T1117" s="3">
        <v>47</v>
      </c>
      <c r="U1117" s="293"/>
    </row>
    <row r="1118" spans="1:21" ht="15" customHeight="1" x14ac:dyDescent="0.35">
      <c r="A1118" s="218" t="s">
        <v>3441</v>
      </c>
      <c r="B1118" s="3">
        <v>1068</v>
      </c>
      <c r="C1118" s="44">
        <v>10015413</v>
      </c>
      <c r="D1118" s="18" t="s">
        <v>1671</v>
      </c>
      <c r="E1118" s="18" t="s">
        <v>2027</v>
      </c>
      <c r="F1118" s="12">
        <v>47</v>
      </c>
      <c r="G1118" s="3" t="s">
        <v>0</v>
      </c>
      <c r="H1118" s="39">
        <v>41577</v>
      </c>
      <c r="I1118" s="27" t="s">
        <v>984</v>
      </c>
      <c r="J1118" s="4" t="s">
        <v>1962</v>
      </c>
      <c r="K1118" s="4" t="s">
        <v>988</v>
      </c>
      <c r="L1118" s="29" t="s">
        <v>977</v>
      </c>
      <c r="M1118" s="78">
        <f t="shared" si="218"/>
        <v>6926.86</v>
      </c>
      <c r="N1118" s="78">
        <f t="shared" si="222"/>
        <v>147.38</v>
      </c>
      <c r="O1118" s="78">
        <v>6926.86</v>
      </c>
      <c r="P1118" s="72">
        <v>8800</v>
      </c>
      <c r="Q1118" s="256">
        <f t="shared" si="220"/>
        <v>1936</v>
      </c>
      <c r="R1118" s="256">
        <f t="shared" si="221"/>
        <v>10736</v>
      </c>
      <c r="S1118" s="296"/>
      <c r="T1118" s="3">
        <v>47</v>
      </c>
      <c r="U1118" s="293"/>
    </row>
    <row r="1119" spans="1:21" ht="30" customHeight="1" x14ac:dyDescent="0.35">
      <c r="A1119" s="218" t="s">
        <v>3442</v>
      </c>
      <c r="B1119" s="3">
        <v>1069</v>
      </c>
      <c r="C1119" s="44">
        <v>10029716</v>
      </c>
      <c r="D1119" s="18" t="s">
        <v>1688</v>
      </c>
      <c r="E1119" s="18" t="s">
        <v>2219</v>
      </c>
      <c r="F1119" s="12">
        <f>186-10</f>
        <v>176</v>
      </c>
      <c r="G1119" s="3" t="s">
        <v>0</v>
      </c>
      <c r="H1119" s="39">
        <v>41431</v>
      </c>
      <c r="I1119" s="27" t="s">
        <v>984</v>
      </c>
      <c r="J1119" s="4" t="s">
        <v>1962</v>
      </c>
      <c r="K1119" s="4" t="s">
        <v>988</v>
      </c>
      <c r="L1119" s="29" t="s">
        <v>977</v>
      </c>
      <c r="M1119" s="78">
        <f t="shared" si="218"/>
        <v>36514.019999999997</v>
      </c>
      <c r="N1119" s="78">
        <f t="shared" si="222"/>
        <v>207.47</v>
      </c>
      <c r="O1119" s="78">
        <f>38588.68/186*176</f>
        <v>36514.019999999997</v>
      </c>
      <c r="P1119" s="72">
        <v>46810</v>
      </c>
      <c r="Q1119" s="256">
        <f t="shared" si="220"/>
        <v>10298.200000000001</v>
      </c>
      <c r="R1119" s="256">
        <f t="shared" si="221"/>
        <v>57108.2</v>
      </c>
      <c r="S1119" s="296"/>
      <c r="T1119" s="3">
        <v>47</v>
      </c>
      <c r="U1119" s="293"/>
    </row>
    <row r="1120" spans="1:21" ht="15" customHeight="1" x14ac:dyDescent="0.35">
      <c r="A1120" s="218" t="s">
        <v>3443</v>
      </c>
      <c r="B1120" s="3">
        <v>1070</v>
      </c>
      <c r="C1120" s="44">
        <v>10112775</v>
      </c>
      <c r="D1120" s="18" t="s">
        <v>1693</v>
      </c>
      <c r="E1120" s="18" t="s">
        <v>2027</v>
      </c>
      <c r="F1120" s="12">
        <v>146</v>
      </c>
      <c r="G1120" s="3" t="s">
        <v>0</v>
      </c>
      <c r="H1120" s="39">
        <v>40444</v>
      </c>
      <c r="I1120" s="27" t="s">
        <v>984</v>
      </c>
      <c r="J1120" s="4" t="s">
        <v>1962</v>
      </c>
      <c r="K1120" s="4" t="s">
        <v>988</v>
      </c>
      <c r="L1120" s="29" t="s">
        <v>977</v>
      </c>
      <c r="M1120" s="78">
        <f t="shared" si="218"/>
        <v>19456.66</v>
      </c>
      <c r="N1120" s="78">
        <f t="shared" si="222"/>
        <v>133.26</v>
      </c>
      <c r="O1120" s="78">
        <v>19456.66</v>
      </c>
      <c r="P1120" s="72">
        <v>25990</v>
      </c>
      <c r="Q1120" s="256">
        <f t="shared" si="220"/>
        <v>5717.8</v>
      </c>
      <c r="R1120" s="256">
        <f t="shared" si="221"/>
        <v>31707.8</v>
      </c>
      <c r="S1120" s="296"/>
      <c r="T1120" s="3">
        <v>47</v>
      </c>
      <c r="U1120" s="293"/>
    </row>
    <row r="1121" spans="1:21" ht="15" customHeight="1" x14ac:dyDescent="0.35">
      <c r="A1121" s="218" t="s">
        <v>3444</v>
      </c>
      <c r="B1121" s="3">
        <v>1071</v>
      </c>
      <c r="C1121" s="44">
        <v>10135848</v>
      </c>
      <c r="D1121" s="18" t="s">
        <v>1704</v>
      </c>
      <c r="E1121" s="18" t="s">
        <v>2027</v>
      </c>
      <c r="F1121" s="12">
        <v>13</v>
      </c>
      <c r="G1121" s="3" t="s">
        <v>0</v>
      </c>
      <c r="H1121" s="39">
        <v>41516</v>
      </c>
      <c r="I1121" s="27" t="s">
        <v>984</v>
      </c>
      <c r="J1121" s="4" t="s">
        <v>1962</v>
      </c>
      <c r="K1121" s="4" t="s">
        <v>988</v>
      </c>
      <c r="L1121" s="29" t="s">
        <v>977</v>
      </c>
      <c r="M1121" s="78">
        <f t="shared" si="218"/>
        <v>889.85</v>
      </c>
      <c r="N1121" s="78">
        <f t="shared" si="222"/>
        <v>68.45</v>
      </c>
      <c r="O1121" s="78">
        <v>889.85</v>
      </c>
      <c r="P1121" s="72">
        <v>1320</v>
      </c>
      <c r="Q1121" s="256">
        <f t="shared" si="220"/>
        <v>290.39999999999998</v>
      </c>
      <c r="R1121" s="256">
        <f t="shared" si="221"/>
        <v>1610.4</v>
      </c>
      <c r="S1121" s="296"/>
      <c r="T1121" s="3">
        <v>47</v>
      </c>
      <c r="U1121" s="293"/>
    </row>
    <row r="1122" spans="1:21" ht="15" customHeight="1" x14ac:dyDescent="0.35">
      <c r="A1122" s="218" t="s">
        <v>3445</v>
      </c>
      <c r="B1122" s="3">
        <v>1072</v>
      </c>
      <c r="C1122" s="44">
        <v>10040647</v>
      </c>
      <c r="D1122" s="18" t="s">
        <v>1706</v>
      </c>
      <c r="E1122" s="18" t="s">
        <v>2027</v>
      </c>
      <c r="F1122" s="12">
        <v>55</v>
      </c>
      <c r="G1122" s="3" t="s">
        <v>0</v>
      </c>
      <c r="H1122" s="39">
        <v>41310</v>
      </c>
      <c r="I1122" s="27" t="s">
        <v>984</v>
      </c>
      <c r="J1122" s="4" t="s">
        <v>1962</v>
      </c>
      <c r="K1122" s="4" t="s">
        <v>988</v>
      </c>
      <c r="L1122" s="29" t="s">
        <v>977</v>
      </c>
      <c r="M1122" s="78">
        <f t="shared" si="218"/>
        <v>12246.85</v>
      </c>
      <c r="N1122" s="78">
        <f t="shared" si="222"/>
        <v>222.67</v>
      </c>
      <c r="O1122" s="78">
        <v>12246.85</v>
      </c>
      <c r="P1122" s="72">
        <v>15650</v>
      </c>
      <c r="Q1122" s="256">
        <f t="shared" si="220"/>
        <v>3443</v>
      </c>
      <c r="R1122" s="256">
        <f t="shared" si="221"/>
        <v>19093</v>
      </c>
      <c r="S1122" s="296"/>
      <c r="T1122" s="3">
        <v>47</v>
      </c>
      <c r="U1122" s="293"/>
    </row>
    <row r="1123" spans="1:21" ht="30" customHeight="1" x14ac:dyDescent="0.35">
      <c r="A1123" s="218" t="s">
        <v>3446</v>
      </c>
      <c r="B1123" s="3">
        <v>1073</v>
      </c>
      <c r="C1123" s="44">
        <v>10040646</v>
      </c>
      <c r="D1123" s="18" t="s">
        <v>1707</v>
      </c>
      <c r="E1123" s="18" t="s">
        <v>2027</v>
      </c>
      <c r="F1123" s="12">
        <v>6</v>
      </c>
      <c r="G1123" s="3" t="s">
        <v>0</v>
      </c>
      <c r="H1123" s="39">
        <v>41310</v>
      </c>
      <c r="I1123" s="27" t="s">
        <v>984</v>
      </c>
      <c r="J1123" s="4" t="s">
        <v>1962</v>
      </c>
      <c r="K1123" s="4" t="s">
        <v>988</v>
      </c>
      <c r="L1123" s="29" t="s">
        <v>977</v>
      </c>
      <c r="M1123" s="78">
        <f t="shared" si="218"/>
        <v>1663.92</v>
      </c>
      <c r="N1123" s="78">
        <f t="shared" si="222"/>
        <v>277.32</v>
      </c>
      <c r="O1123" s="78">
        <v>1663.92</v>
      </c>
      <c r="P1123" s="72">
        <v>2130</v>
      </c>
      <c r="Q1123" s="256">
        <f t="shared" si="220"/>
        <v>468.6</v>
      </c>
      <c r="R1123" s="256">
        <f t="shared" si="221"/>
        <v>2598.6</v>
      </c>
      <c r="S1123" s="296"/>
      <c r="T1123" s="3">
        <v>47</v>
      </c>
      <c r="U1123" s="293"/>
    </row>
    <row r="1124" spans="1:21" ht="45" customHeight="1" x14ac:dyDescent="0.35">
      <c r="A1124" s="218" t="s">
        <v>3447</v>
      </c>
      <c r="B1124" s="3">
        <v>1074</v>
      </c>
      <c r="C1124" s="44">
        <v>10043267</v>
      </c>
      <c r="D1124" s="18" t="s">
        <v>1708</v>
      </c>
      <c r="E1124" s="18" t="s">
        <v>2027</v>
      </c>
      <c r="F1124" s="12">
        <v>50</v>
      </c>
      <c r="G1124" s="3" t="s">
        <v>0</v>
      </c>
      <c r="H1124" s="39">
        <v>41310</v>
      </c>
      <c r="I1124" s="27" t="s">
        <v>984</v>
      </c>
      <c r="J1124" s="4" t="s">
        <v>1962</v>
      </c>
      <c r="K1124" s="4" t="s">
        <v>988</v>
      </c>
      <c r="L1124" s="29" t="s">
        <v>977</v>
      </c>
      <c r="M1124" s="78">
        <f t="shared" si="218"/>
        <v>12215.51</v>
      </c>
      <c r="N1124" s="78">
        <f t="shared" si="222"/>
        <v>244.31</v>
      </c>
      <c r="O1124" s="78">
        <v>12215.51</v>
      </c>
      <c r="P1124" s="72">
        <v>15610</v>
      </c>
      <c r="Q1124" s="256">
        <f t="shared" si="220"/>
        <v>3434.2</v>
      </c>
      <c r="R1124" s="256">
        <f t="shared" si="221"/>
        <v>19044.2</v>
      </c>
      <c r="S1124" s="296"/>
      <c r="T1124" s="3">
        <v>47</v>
      </c>
      <c r="U1124" s="293"/>
    </row>
    <row r="1125" spans="1:21" ht="15" customHeight="1" x14ac:dyDescent="0.35">
      <c r="A1125" s="218" t="s">
        <v>3448</v>
      </c>
      <c r="B1125" s="3">
        <v>1075</v>
      </c>
      <c r="C1125" s="44">
        <v>10040664</v>
      </c>
      <c r="D1125" s="18" t="s">
        <v>1709</v>
      </c>
      <c r="E1125" s="18" t="s">
        <v>2027</v>
      </c>
      <c r="F1125" s="12">
        <v>2</v>
      </c>
      <c r="G1125" s="3" t="s">
        <v>0</v>
      </c>
      <c r="H1125" s="39">
        <v>41479</v>
      </c>
      <c r="I1125" s="27" t="s">
        <v>984</v>
      </c>
      <c r="J1125" s="4" t="s">
        <v>1962</v>
      </c>
      <c r="K1125" s="4" t="s">
        <v>988</v>
      </c>
      <c r="L1125" s="29" t="s">
        <v>977</v>
      </c>
      <c r="M1125" s="78">
        <f t="shared" si="218"/>
        <v>418.73</v>
      </c>
      <c r="N1125" s="78">
        <f t="shared" si="222"/>
        <v>209.37</v>
      </c>
      <c r="O1125" s="78">
        <v>418.73</v>
      </c>
      <c r="P1125" s="72">
        <v>530</v>
      </c>
      <c r="Q1125" s="256">
        <f t="shared" si="220"/>
        <v>116.6</v>
      </c>
      <c r="R1125" s="256">
        <f t="shared" si="221"/>
        <v>646.6</v>
      </c>
      <c r="S1125" s="296"/>
      <c r="T1125" s="3">
        <v>47</v>
      </c>
      <c r="U1125" s="293"/>
    </row>
    <row r="1126" spans="1:21" ht="15" customHeight="1" x14ac:dyDescent="0.35">
      <c r="A1126" s="218" t="s">
        <v>3449</v>
      </c>
      <c r="B1126" s="3">
        <v>1076</v>
      </c>
      <c r="C1126" s="44">
        <v>10040663</v>
      </c>
      <c r="D1126" s="18" t="s">
        <v>1710</v>
      </c>
      <c r="E1126" s="18" t="s">
        <v>2027</v>
      </c>
      <c r="F1126" s="12">
        <v>43</v>
      </c>
      <c r="G1126" s="3" t="s">
        <v>0</v>
      </c>
      <c r="H1126" s="39">
        <v>41479</v>
      </c>
      <c r="I1126" s="27" t="s">
        <v>984</v>
      </c>
      <c r="J1126" s="4" t="s">
        <v>1962</v>
      </c>
      <c r="K1126" s="4" t="s">
        <v>988</v>
      </c>
      <c r="L1126" s="29" t="s">
        <v>977</v>
      </c>
      <c r="M1126" s="78">
        <f t="shared" si="218"/>
        <v>11077.97</v>
      </c>
      <c r="N1126" s="78">
        <f t="shared" si="222"/>
        <v>257.63</v>
      </c>
      <c r="O1126" s="78">
        <v>11077.97</v>
      </c>
      <c r="P1126" s="72">
        <v>14090</v>
      </c>
      <c r="Q1126" s="256">
        <f t="shared" si="220"/>
        <v>3099.8</v>
      </c>
      <c r="R1126" s="256">
        <f t="shared" si="221"/>
        <v>17189.8</v>
      </c>
      <c r="S1126" s="296"/>
      <c r="T1126" s="3">
        <v>47</v>
      </c>
      <c r="U1126" s="293"/>
    </row>
    <row r="1127" spans="1:21" ht="15" customHeight="1" x14ac:dyDescent="0.35">
      <c r="A1127" s="218" t="s">
        <v>3450</v>
      </c>
      <c r="B1127" s="3">
        <v>1077</v>
      </c>
      <c r="C1127" s="44">
        <v>10109104</v>
      </c>
      <c r="D1127" s="18" t="s">
        <v>1711</v>
      </c>
      <c r="E1127" s="18" t="s">
        <v>2027</v>
      </c>
      <c r="F1127" s="12">
        <v>13</v>
      </c>
      <c r="G1127" s="3" t="s">
        <v>0</v>
      </c>
      <c r="H1127" s="39">
        <v>41479</v>
      </c>
      <c r="I1127" s="27" t="s">
        <v>984</v>
      </c>
      <c r="J1127" s="4" t="s">
        <v>1962</v>
      </c>
      <c r="K1127" s="4" t="s">
        <v>988</v>
      </c>
      <c r="L1127" s="29" t="s">
        <v>977</v>
      </c>
      <c r="M1127" s="78">
        <f t="shared" si="218"/>
        <v>3760.54</v>
      </c>
      <c r="N1127" s="78">
        <f t="shared" si="222"/>
        <v>289.27</v>
      </c>
      <c r="O1127" s="78">
        <v>3760.54</v>
      </c>
      <c r="P1127" s="72">
        <v>4780</v>
      </c>
      <c r="Q1127" s="256">
        <f t="shared" si="220"/>
        <v>1051.5999999999999</v>
      </c>
      <c r="R1127" s="256">
        <f t="shared" si="221"/>
        <v>5831.6</v>
      </c>
      <c r="S1127" s="296"/>
      <c r="T1127" s="3">
        <v>47</v>
      </c>
      <c r="U1127" s="293"/>
    </row>
    <row r="1128" spans="1:21" ht="15" customHeight="1" x14ac:dyDescent="0.35">
      <c r="A1128" s="218" t="s">
        <v>3451</v>
      </c>
      <c r="B1128" s="3">
        <v>1078</v>
      </c>
      <c r="C1128" s="44">
        <v>10122495</v>
      </c>
      <c r="D1128" s="18" t="s">
        <v>1712</v>
      </c>
      <c r="E1128" s="18" t="s">
        <v>2027</v>
      </c>
      <c r="F1128" s="12">
        <v>11</v>
      </c>
      <c r="G1128" s="3" t="s">
        <v>0</v>
      </c>
      <c r="H1128" s="39">
        <v>41310</v>
      </c>
      <c r="I1128" s="27" t="s">
        <v>984</v>
      </c>
      <c r="J1128" s="4" t="s">
        <v>1962</v>
      </c>
      <c r="K1128" s="4" t="s">
        <v>988</v>
      </c>
      <c r="L1128" s="29" t="s">
        <v>977</v>
      </c>
      <c r="M1128" s="78">
        <f t="shared" si="218"/>
        <v>1779.25</v>
      </c>
      <c r="N1128" s="78">
        <f t="shared" si="222"/>
        <v>161.75</v>
      </c>
      <c r="O1128" s="78">
        <v>1779.25</v>
      </c>
      <c r="P1128" s="72">
        <v>2270</v>
      </c>
      <c r="Q1128" s="256">
        <f t="shared" si="220"/>
        <v>499.4</v>
      </c>
      <c r="R1128" s="256">
        <f t="shared" si="221"/>
        <v>2769.4</v>
      </c>
      <c r="S1128" s="296"/>
      <c r="T1128" s="3">
        <v>47</v>
      </c>
      <c r="U1128" s="293"/>
    </row>
    <row r="1129" spans="1:21" ht="15" customHeight="1" x14ac:dyDescent="0.35">
      <c r="A1129" s="218" t="s">
        <v>3452</v>
      </c>
      <c r="B1129" s="3">
        <v>1079</v>
      </c>
      <c r="C1129" s="44">
        <v>10112816</v>
      </c>
      <c r="D1129" s="18" t="s">
        <v>1721</v>
      </c>
      <c r="E1129" s="18" t="s">
        <v>2027</v>
      </c>
      <c r="F1129" s="12">
        <v>132</v>
      </c>
      <c r="G1129" s="3" t="s">
        <v>0</v>
      </c>
      <c r="H1129" s="39">
        <v>40444</v>
      </c>
      <c r="I1129" s="27" t="s">
        <v>984</v>
      </c>
      <c r="J1129" s="4" t="s">
        <v>1962</v>
      </c>
      <c r="K1129" s="4" t="s">
        <v>988</v>
      </c>
      <c r="L1129" s="29" t="s">
        <v>977</v>
      </c>
      <c r="M1129" s="78">
        <f t="shared" si="218"/>
        <v>5881.91</v>
      </c>
      <c r="N1129" s="78">
        <f t="shared" si="222"/>
        <v>44.56</v>
      </c>
      <c r="O1129" s="78">
        <v>5881.91</v>
      </c>
      <c r="P1129" s="72">
        <v>8280</v>
      </c>
      <c r="Q1129" s="256">
        <f t="shared" si="220"/>
        <v>1821.6</v>
      </c>
      <c r="R1129" s="256">
        <f t="shared" si="221"/>
        <v>10101.6</v>
      </c>
      <c r="S1129" s="296"/>
      <c r="T1129" s="3">
        <v>47</v>
      </c>
      <c r="U1129" s="293"/>
    </row>
    <row r="1130" spans="1:21" ht="15" customHeight="1" x14ac:dyDescent="0.35">
      <c r="A1130" s="218" t="s">
        <v>3453</v>
      </c>
      <c r="B1130" s="3">
        <v>1080</v>
      </c>
      <c r="C1130" s="44">
        <v>10112779</v>
      </c>
      <c r="D1130" s="18" t="s">
        <v>1722</v>
      </c>
      <c r="E1130" s="18" t="s">
        <v>2027</v>
      </c>
      <c r="F1130" s="12">
        <v>30</v>
      </c>
      <c r="G1130" s="3" t="s">
        <v>0</v>
      </c>
      <c r="H1130" s="39">
        <v>40424</v>
      </c>
      <c r="I1130" s="27" t="s">
        <v>984</v>
      </c>
      <c r="J1130" s="4" t="s">
        <v>1962</v>
      </c>
      <c r="K1130" s="4" t="s">
        <v>988</v>
      </c>
      <c r="L1130" s="29" t="s">
        <v>977</v>
      </c>
      <c r="M1130" s="78">
        <f t="shared" si="218"/>
        <v>2835</v>
      </c>
      <c r="N1130" s="78">
        <f t="shared" si="222"/>
        <v>94.5</v>
      </c>
      <c r="O1130" s="78">
        <v>2835</v>
      </c>
      <c r="P1130" s="72">
        <v>3990</v>
      </c>
      <c r="Q1130" s="256">
        <f t="shared" si="220"/>
        <v>877.8</v>
      </c>
      <c r="R1130" s="256">
        <f t="shared" si="221"/>
        <v>4867.8</v>
      </c>
      <c r="S1130" s="296"/>
      <c r="T1130" s="3">
        <v>47</v>
      </c>
      <c r="U1130" s="293"/>
    </row>
    <row r="1131" spans="1:21" ht="15" customHeight="1" x14ac:dyDescent="0.35">
      <c r="A1131" s="218" t="s">
        <v>3454</v>
      </c>
      <c r="B1131" s="3">
        <v>1081</v>
      </c>
      <c r="C1131" s="44">
        <v>10113852</v>
      </c>
      <c r="D1131" s="18" t="s">
        <v>1723</v>
      </c>
      <c r="E1131" s="18" t="s">
        <v>2027</v>
      </c>
      <c r="F1131" s="12">
        <v>10</v>
      </c>
      <c r="G1131" s="3" t="s">
        <v>0</v>
      </c>
      <c r="H1131" s="39">
        <v>40841</v>
      </c>
      <c r="I1131" s="27" t="s">
        <v>984</v>
      </c>
      <c r="J1131" s="4" t="s">
        <v>1962</v>
      </c>
      <c r="K1131" s="4" t="s">
        <v>988</v>
      </c>
      <c r="L1131" s="29" t="s">
        <v>977</v>
      </c>
      <c r="M1131" s="78">
        <f t="shared" si="218"/>
        <v>357.9</v>
      </c>
      <c r="N1131" s="78">
        <f t="shared" si="222"/>
        <v>35.79</v>
      </c>
      <c r="O1131" s="78">
        <v>357.9</v>
      </c>
      <c r="P1131" s="72">
        <v>460</v>
      </c>
      <c r="Q1131" s="256">
        <f t="shared" si="220"/>
        <v>101.2</v>
      </c>
      <c r="R1131" s="256">
        <f t="shared" si="221"/>
        <v>561.20000000000005</v>
      </c>
      <c r="S1131" s="296"/>
      <c r="T1131" s="3">
        <v>47</v>
      </c>
      <c r="U1131" s="293"/>
    </row>
    <row r="1132" spans="1:21" ht="15.75" customHeight="1" x14ac:dyDescent="0.35">
      <c r="A1132" s="218" t="s">
        <v>3455</v>
      </c>
      <c r="B1132" s="3">
        <v>1082</v>
      </c>
      <c r="C1132" s="44">
        <v>10041296</v>
      </c>
      <c r="D1132" s="18" t="s">
        <v>1724</v>
      </c>
      <c r="E1132" s="18" t="s">
        <v>2027</v>
      </c>
      <c r="F1132" s="12">
        <v>710</v>
      </c>
      <c r="G1132" s="3" t="s">
        <v>0</v>
      </c>
      <c r="H1132" s="39">
        <v>41310</v>
      </c>
      <c r="I1132" s="27" t="s">
        <v>984</v>
      </c>
      <c r="J1132" s="4" t="s">
        <v>1962</v>
      </c>
      <c r="K1132" s="4" t="s">
        <v>988</v>
      </c>
      <c r="L1132" s="29" t="s">
        <v>977</v>
      </c>
      <c r="M1132" s="78">
        <f t="shared" si="218"/>
        <v>40242.800000000003</v>
      </c>
      <c r="N1132" s="78">
        <f t="shared" si="222"/>
        <v>56.68</v>
      </c>
      <c r="O1132" s="78">
        <v>40242.800000000003</v>
      </c>
      <c r="P1132" s="72">
        <v>51420</v>
      </c>
      <c r="Q1132" s="256">
        <f t="shared" si="220"/>
        <v>11312.4</v>
      </c>
      <c r="R1132" s="256">
        <f t="shared" si="221"/>
        <v>62732.4</v>
      </c>
      <c r="S1132" s="296"/>
      <c r="T1132" s="3">
        <v>47</v>
      </c>
      <c r="U1132" s="293"/>
    </row>
    <row r="1133" spans="1:21" ht="19.5" customHeight="1" x14ac:dyDescent="0.35">
      <c r="A1133" s="218" t="s">
        <v>3456</v>
      </c>
      <c r="B1133" s="3">
        <v>1083</v>
      </c>
      <c r="C1133" s="44">
        <v>10092302</v>
      </c>
      <c r="D1133" s="18" t="s">
        <v>1725</v>
      </c>
      <c r="E1133" s="18" t="s">
        <v>2027</v>
      </c>
      <c r="F1133" s="12">
        <v>132</v>
      </c>
      <c r="G1133" s="3" t="s">
        <v>0</v>
      </c>
      <c r="H1133" s="39">
        <v>41310</v>
      </c>
      <c r="I1133" s="27" t="s">
        <v>984</v>
      </c>
      <c r="J1133" s="4" t="s">
        <v>1962</v>
      </c>
      <c r="K1133" s="4" t="s">
        <v>988</v>
      </c>
      <c r="L1133" s="29" t="s">
        <v>977</v>
      </c>
      <c r="M1133" s="78">
        <f t="shared" si="218"/>
        <v>6922.41</v>
      </c>
      <c r="N1133" s="78">
        <f t="shared" si="222"/>
        <v>52.44</v>
      </c>
      <c r="O1133" s="78">
        <v>6922.41</v>
      </c>
      <c r="P1133" s="72">
        <v>8840</v>
      </c>
      <c r="Q1133" s="256">
        <f t="shared" si="220"/>
        <v>1944.8</v>
      </c>
      <c r="R1133" s="256">
        <f t="shared" si="221"/>
        <v>10784.8</v>
      </c>
      <c r="S1133" s="296"/>
      <c r="T1133" s="3">
        <v>47</v>
      </c>
      <c r="U1133" s="293"/>
    </row>
    <row r="1134" spans="1:21" ht="15" customHeight="1" x14ac:dyDescent="0.35">
      <c r="A1134" s="218" t="s">
        <v>3457</v>
      </c>
      <c r="B1134" s="3">
        <v>1084</v>
      </c>
      <c r="C1134" s="44">
        <v>10130947</v>
      </c>
      <c r="D1134" s="18" t="s">
        <v>1726</v>
      </c>
      <c r="E1134" s="18" t="s">
        <v>2027</v>
      </c>
      <c r="F1134" s="12">
        <v>474</v>
      </c>
      <c r="G1134" s="3" t="s">
        <v>28</v>
      </c>
      <c r="H1134" s="39">
        <v>42583</v>
      </c>
      <c r="I1134" s="27" t="s">
        <v>984</v>
      </c>
      <c r="J1134" s="4" t="s">
        <v>1962</v>
      </c>
      <c r="K1134" s="4" t="s">
        <v>988</v>
      </c>
      <c r="L1134" s="29" t="s">
        <v>977</v>
      </c>
      <c r="M1134" s="78">
        <f t="shared" si="218"/>
        <v>14931</v>
      </c>
      <c r="N1134" s="78">
        <f t="shared" si="222"/>
        <v>31.5</v>
      </c>
      <c r="O1134" s="78">
        <v>14931</v>
      </c>
      <c r="P1134" s="72">
        <v>15870</v>
      </c>
      <c r="Q1134" s="256">
        <f t="shared" si="220"/>
        <v>3491.4</v>
      </c>
      <c r="R1134" s="256">
        <f t="shared" si="221"/>
        <v>19361.400000000001</v>
      </c>
      <c r="S1134" s="296"/>
      <c r="T1134" s="3">
        <v>47</v>
      </c>
      <c r="U1134" s="293"/>
    </row>
    <row r="1135" spans="1:21" ht="15" customHeight="1" x14ac:dyDescent="0.35">
      <c r="A1135" s="218" t="s">
        <v>3458</v>
      </c>
      <c r="B1135" s="3">
        <v>1085</v>
      </c>
      <c r="C1135" s="44">
        <v>10029765</v>
      </c>
      <c r="D1135" s="18" t="s">
        <v>1730</v>
      </c>
      <c r="E1135" s="18" t="s">
        <v>2027</v>
      </c>
      <c r="F1135" s="12">
        <v>216</v>
      </c>
      <c r="G1135" s="3" t="s">
        <v>0</v>
      </c>
      <c r="H1135" s="39">
        <v>41479</v>
      </c>
      <c r="I1135" s="27" t="s">
        <v>984</v>
      </c>
      <c r="J1135" s="4" t="s">
        <v>1962</v>
      </c>
      <c r="K1135" s="4" t="s">
        <v>988</v>
      </c>
      <c r="L1135" s="29" t="s">
        <v>977</v>
      </c>
      <c r="M1135" s="78">
        <f t="shared" si="218"/>
        <v>12932.06</v>
      </c>
      <c r="N1135" s="78">
        <f t="shared" si="222"/>
        <v>59.87</v>
      </c>
      <c r="O1135" s="78">
        <v>12932.06</v>
      </c>
      <c r="P1135" s="72">
        <v>16450</v>
      </c>
      <c r="Q1135" s="256">
        <f t="shared" si="220"/>
        <v>3619</v>
      </c>
      <c r="R1135" s="256">
        <f t="shared" si="221"/>
        <v>20069</v>
      </c>
      <c r="S1135" s="296"/>
      <c r="T1135" s="3">
        <v>47</v>
      </c>
      <c r="U1135" s="293"/>
    </row>
    <row r="1136" spans="1:21" ht="15" customHeight="1" x14ac:dyDescent="0.35">
      <c r="A1136" s="218" t="s">
        <v>3459</v>
      </c>
      <c r="B1136" s="3">
        <v>1086</v>
      </c>
      <c r="C1136" s="44">
        <v>10111870</v>
      </c>
      <c r="D1136" s="18" t="s">
        <v>1731</v>
      </c>
      <c r="E1136" s="18" t="s">
        <v>2027</v>
      </c>
      <c r="F1136" s="12">
        <v>30</v>
      </c>
      <c r="G1136" s="3" t="s">
        <v>0</v>
      </c>
      <c r="H1136" s="39">
        <v>41479</v>
      </c>
      <c r="I1136" s="27" t="s">
        <v>984</v>
      </c>
      <c r="J1136" s="4" t="s">
        <v>1962</v>
      </c>
      <c r="K1136" s="4" t="s">
        <v>988</v>
      </c>
      <c r="L1136" s="29" t="s">
        <v>977</v>
      </c>
      <c r="M1136" s="78">
        <f t="shared" si="218"/>
        <v>4196.7</v>
      </c>
      <c r="N1136" s="78">
        <f t="shared" si="222"/>
        <v>139.88999999999999</v>
      </c>
      <c r="O1136" s="78">
        <v>4196.7</v>
      </c>
      <c r="P1136" s="72">
        <v>5340</v>
      </c>
      <c r="Q1136" s="256">
        <f t="shared" si="220"/>
        <v>1174.8</v>
      </c>
      <c r="R1136" s="256">
        <f t="shared" si="221"/>
        <v>6514.8</v>
      </c>
      <c r="S1136" s="296"/>
      <c r="T1136" s="3">
        <v>47</v>
      </c>
      <c r="U1136" s="293"/>
    </row>
    <row r="1137" spans="1:21" ht="15" customHeight="1" x14ac:dyDescent="0.35">
      <c r="A1137" s="218" t="s">
        <v>3460</v>
      </c>
      <c r="B1137" s="3">
        <v>1087</v>
      </c>
      <c r="C1137" s="44">
        <v>10043881</v>
      </c>
      <c r="D1137" s="18" t="s">
        <v>1732</v>
      </c>
      <c r="E1137" s="18" t="s">
        <v>2027</v>
      </c>
      <c r="F1137" s="12">
        <v>39</v>
      </c>
      <c r="G1137" s="3" t="s">
        <v>0</v>
      </c>
      <c r="H1137" s="39">
        <v>41479</v>
      </c>
      <c r="I1137" s="27" t="s">
        <v>984</v>
      </c>
      <c r="J1137" s="4" t="s">
        <v>1962</v>
      </c>
      <c r="K1137" s="4" t="s">
        <v>988</v>
      </c>
      <c r="L1137" s="29" t="s">
        <v>977</v>
      </c>
      <c r="M1137" s="78">
        <f t="shared" si="218"/>
        <v>5443.62</v>
      </c>
      <c r="N1137" s="78">
        <f t="shared" si="222"/>
        <v>139.58000000000001</v>
      </c>
      <c r="O1137" s="78">
        <v>5443.62</v>
      </c>
      <c r="P1137" s="72">
        <v>6920</v>
      </c>
      <c r="Q1137" s="256">
        <f t="shared" si="220"/>
        <v>1522.4</v>
      </c>
      <c r="R1137" s="256">
        <f t="shared" si="221"/>
        <v>8442.4</v>
      </c>
      <c r="S1137" s="296"/>
      <c r="T1137" s="3">
        <v>47</v>
      </c>
      <c r="U1137" s="293"/>
    </row>
    <row r="1138" spans="1:21" ht="15" customHeight="1" x14ac:dyDescent="0.35">
      <c r="A1138" s="218" t="s">
        <v>3461</v>
      </c>
      <c r="B1138" s="3">
        <v>1088</v>
      </c>
      <c r="C1138" s="44">
        <v>10112774</v>
      </c>
      <c r="D1138" s="18" t="s">
        <v>1733</v>
      </c>
      <c r="E1138" s="18" t="s">
        <v>2027</v>
      </c>
      <c r="F1138" s="12">
        <v>133</v>
      </c>
      <c r="G1138" s="3" t="s">
        <v>0</v>
      </c>
      <c r="H1138" s="39">
        <v>40444</v>
      </c>
      <c r="I1138" s="27" t="s">
        <v>984</v>
      </c>
      <c r="J1138" s="4" t="s">
        <v>1962</v>
      </c>
      <c r="K1138" s="4" t="s">
        <v>988</v>
      </c>
      <c r="L1138" s="29" t="s">
        <v>977</v>
      </c>
      <c r="M1138" s="78">
        <f t="shared" si="218"/>
        <v>9534.77</v>
      </c>
      <c r="N1138" s="78">
        <f t="shared" si="222"/>
        <v>71.69</v>
      </c>
      <c r="O1138" s="78">
        <v>9534.77</v>
      </c>
      <c r="P1138" s="72">
        <v>13420</v>
      </c>
      <c r="Q1138" s="256">
        <f t="shared" si="220"/>
        <v>2952.4</v>
      </c>
      <c r="R1138" s="256">
        <f t="shared" si="221"/>
        <v>16372.4</v>
      </c>
      <c r="S1138" s="296"/>
      <c r="T1138" s="3">
        <v>47</v>
      </c>
      <c r="U1138" s="293"/>
    </row>
    <row r="1139" spans="1:21" ht="15" customHeight="1" x14ac:dyDescent="0.35">
      <c r="A1139" s="218" t="s">
        <v>3462</v>
      </c>
      <c r="B1139" s="3">
        <v>1089</v>
      </c>
      <c r="C1139" s="44">
        <v>10112879</v>
      </c>
      <c r="D1139" s="18" t="s">
        <v>1734</v>
      </c>
      <c r="E1139" s="18" t="s">
        <v>2027</v>
      </c>
      <c r="F1139" s="12">
        <v>49</v>
      </c>
      <c r="G1139" s="3" t="s">
        <v>0</v>
      </c>
      <c r="H1139" s="39">
        <v>41431</v>
      </c>
      <c r="I1139" s="27" t="s">
        <v>984</v>
      </c>
      <c r="J1139" s="4" t="s">
        <v>1962</v>
      </c>
      <c r="K1139" s="4" t="s">
        <v>988</v>
      </c>
      <c r="L1139" s="29" t="s">
        <v>977</v>
      </c>
      <c r="M1139" s="78">
        <f t="shared" si="218"/>
        <v>3624.53</v>
      </c>
      <c r="N1139" s="78">
        <f t="shared" si="222"/>
        <v>73.97</v>
      </c>
      <c r="O1139" s="78">
        <v>3624.53</v>
      </c>
      <c r="P1139" s="72">
        <v>4820</v>
      </c>
      <c r="Q1139" s="256">
        <f t="shared" ref="Q1139:Q1147" si="223">R1139-P1139</f>
        <v>1060.4000000000001</v>
      </c>
      <c r="R1139" s="256">
        <f t="shared" ref="R1139:R1147" si="224">P1139*1.22</f>
        <v>5880.4</v>
      </c>
      <c r="S1139" s="296"/>
      <c r="T1139" s="3">
        <v>47</v>
      </c>
      <c r="U1139" s="293"/>
    </row>
    <row r="1140" spans="1:21" ht="15" customHeight="1" x14ac:dyDescent="0.35">
      <c r="A1140" s="218" t="s">
        <v>3463</v>
      </c>
      <c r="B1140" s="3">
        <v>1090</v>
      </c>
      <c r="C1140" s="44">
        <v>10093406</v>
      </c>
      <c r="D1140" s="18" t="s">
        <v>1752</v>
      </c>
      <c r="E1140" s="18" t="s">
        <v>2027</v>
      </c>
      <c r="F1140" s="12">
        <v>1</v>
      </c>
      <c r="G1140" s="3" t="s">
        <v>0</v>
      </c>
      <c r="H1140" s="39">
        <v>41431</v>
      </c>
      <c r="I1140" s="27" t="s">
        <v>984</v>
      </c>
      <c r="J1140" s="4" t="s">
        <v>1962</v>
      </c>
      <c r="K1140" s="4" t="s">
        <v>988</v>
      </c>
      <c r="L1140" s="29" t="s">
        <v>977</v>
      </c>
      <c r="M1140" s="78">
        <f t="shared" si="218"/>
        <v>81.31</v>
      </c>
      <c r="N1140" s="78">
        <f t="shared" si="222"/>
        <v>81.31</v>
      </c>
      <c r="O1140" s="78">
        <v>81.31</v>
      </c>
      <c r="P1140" s="72">
        <v>100</v>
      </c>
      <c r="Q1140" s="256">
        <f t="shared" si="223"/>
        <v>22</v>
      </c>
      <c r="R1140" s="256">
        <f t="shared" si="224"/>
        <v>122</v>
      </c>
      <c r="S1140" s="296"/>
      <c r="T1140" s="3">
        <v>47</v>
      </c>
      <c r="U1140" s="293"/>
    </row>
    <row r="1141" spans="1:21" ht="15" customHeight="1" x14ac:dyDescent="0.35">
      <c r="A1141" s="218" t="s">
        <v>3464</v>
      </c>
      <c r="B1141" s="3">
        <v>1091</v>
      </c>
      <c r="C1141" s="44">
        <v>10093396</v>
      </c>
      <c r="D1141" s="18" t="s">
        <v>1759</v>
      </c>
      <c r="E1141" s="18" t="s">
        <v>2027</v>
      </c>
      <c r="F1141" s="12">
        <v>3</v>
      </c>
      <c r="G1141" s="3" t="s">
        <v>0</v>
      </c>
      <c r="H1141" s="39">
        <v>41431</v>
      </c>
      <c r="I1141" s="27" t="s">
        <v>984</v>
      </c>
      <c r="J1141" s="4" t="s">
        <v>1962</v>
      </c>
      <c r="K1141" s="4" t="s">
        <v>988</v>
      </c>
      <c r="L1141" s="29" t="s">
        <v>977</v>
      </c>
      <c r="M1141" s="78">
        <f t="shared" si="218"/>
        <v>59.46</v>
      </c>
      <c r="N1141" s="78">
        <f t="shared" si="222"/>
        <v>19.82</v>
      </c>
      <c r="O1141" s="78">
        <v>59.46</v>
      </c>
      <c r="P1141" s="72">
        <v>80</v>
      </c>
      <c r="Q1141" s="256">
        <f t="shared" si="223"/>
        <v>17.600000000000001</v>
      </c>
      <c r="R1141" s="256">
        <f t="shared" si="224"/>
        <v>97.6</v>
      </c>
      <c r="S1141" s="296"/>
      <c r="T1141" s="3">
        <v>47</v>
      </c>
      <c r="U1141" s="293"/>
    </row>
    <row r="1142" spans="1:21" ht="15" customHeight="1" x14ac:dyDescent="0.35">
      <c r="A1142" s="218" t="s">
        <v>3465</v>
      </c>
      <c r="B1142" s="3">
        <v>1092</v>
      </c>
      <c r="C1142" s="44">
        <v>10095531</v>
      </c>
      <c r="D1142" s="18" t="s">
        <v>1760</v>
      </c>
      <c r="E1142" s="18" t="s">
        <v>2027</v>
      </c>
      <c r="F1142" s="12">
        <v>6</v>
      </c>
      <c r="G1142" s="3" t="s">
        <v>0</v>
      </c>
      <c r="H1142" s="39">
        <v>41479</v>
      </c>
      <c r="I1142" s="27" t="s">
        <v>984</v>
      </c>
      <c r="J1142" s="4" t="s">
        <v>1962</v>
      </c>
      <c r="K1142" s="4" t="s">
        <v>988</v>
      </c>
      <c r="L1142" s="29" t="s">
        <v>977</v>
      </c>
      <c r="M1142" s="78">
        <f t="shared" si="218"/>
        <v>2117.04</v>
      </c>
      <c r="N1142" s="78">
        <f t="shared" si="222"/>
        <v>352.84</v>
      </c>
      <c r="O1142" s="78">
        <v>2117.04</v>
      </c>
      <c r="P1142" s="72">
        <v>2690</v>
      </c>
      <c r="Q1142" s="256">
        <f t="shared" si="223"/>
        <v>591.79999999999995</v>
      </c>
      <c r="R1142" s="256">
        <f t="shared" si="224"/>
        <v>3281.8</v>
      </c>
      <c r="S1142" s="296"/>
      <c r="T1142" s="3">
        <v>47</v>
      </c>
      <c r="U1142" s="293"/>
    </row>
    <row r="1143" spans="1:21" ht="30" customHeight="1" x14ac:dyDescent="0.35">
      <c r="A1143" s="218" t="s">
        <v>3466</v>
      </c>
      <c r="B1143" s="3">
        <v>1093</v>
      </c>
      <c r="C1143" s="44">
        <v>10093397</v>
      </c>
      <c r="D1143" s="18" t="s">
        <v>1761</v>
      </c>
      <c r="E1143" s="18" t="s">
        <v>2027</v>
      </c>
      <c r="F1143" s="12">
        <v>4</v>
      </c>
      <c r="G1143" s="3" t="s">
        <v>0</v>
      </c>
      <c r="H1143" s="39">
        <v>41431</v>
      </c>
      <c r="I1143" s="27" t="s">
        <v>984</v>
      </c>
      <c r="J1143" s="4" t="s">
        <v>1962</v>
      </c>
      <c r="K1143" s="4" t="s">
        <v>988</v>
      </c>
      <c r="L1143" s="29" t="s">
        <v>977</v>
      </c>
      <c r="M1143" s="78">
        <f t="shared" si="218"/>
        <v>102.84</v>
      </c>
      <c r="N1143" s="78">
        <f t="shared" si="222"/>
        <v>25.71</v>
      </c>
      <c r="O1143" s="78">
        <v>102.84</v>
      </c>
      <c r="P1143" s="72">
        <v>130</v>
      </c>
      <c r="Q1143" s="256">
        <f t="shared" si="223"/>
        <v>28.6</v>
      </c>
      <c r="R1143" s="256">
        <f t="shared" si="224"/>
        <v>158.6</v>
      </c>
      <c r="S1143" s="296"/>
      <c r="T1143" s="3">
        <v>47</v>
      </c>
      <c r="U1143" s="293"/>
    </row>
    <row r="1144" spans="1:21" ht="15" customHeight="1" x14ac:dyDescent="0.35">
      <c r="A1144" s="218" t="s">
        <v>3467</v>
      </c>
      <c r="B1144" s="3">
        <v>1094</v>
      </c>
      <c r="C1144" s="44">
        <v>10093404</v>
      </c>
      <c r="D1144" s="18" t="s">
        <v>1762</v>
      </c>
      <c r="E1144" s="18" t="s">
        <v>2027</v>
      </c>
      <c r="F1144" s="12">
        <v>4</v>
      </c>
      <c r="G1144" s="3" t="s">
        <v>0</v>
      </c>
      <c r="H1144" s="39">
        <v>41431</v>
      </c>
      <c r="I1144" s="27" t="s">
        <v>984</v>
      </c>
      <c r="J1144" s="4" t="s">
        <v>1962</v>
      </c>
      <c r="K1144" s="4" t="s">
        <v>988</v>
      </c>
      <c r="L1144" s="29" t="s">
        <v>977</v>
      </c>
      <c r="M1144" s="78">
        <f t="shared" si="218"/>
        <v>347.88</v>
      </c>
      <c r="N1144" s="78">
        <f t="shared" si="222"/>
        <v>86.97</v>
      </c>
      <c r="O1144" s="78">
        <v>347.88</v>
      </c>
      <c r="P1144" s="72">
        <v>430</v>
      </c>
      <c r="Q1144" s="256">
        <f t="shared" si="223"/>
        <v>94.6</v>
      </c>
      <c r="R1144" s="256">
        <f t="shared" si="224"/>
        <v>524.6</v>
      </c>
      <c r="S1144" s="296"/>
      <c r="T1144" s="3">
        <v>47</v>
      </c>
      <c r="U1144" s="293"/>
    </row>
    <row r="1145" spans="1:21" ht="15" customHeight="1" x14ac:dyDescent="0.35">
      <c r="A1145" s="218" t="s">
        <v>3468</v>
      </c>
      <c r="B1145" s="3">
        <v>1095</v>
      </c>
      <c r="C1145" s="44">
        <v>10128554</v>
      </c>
      <c r="D1145" s="18" t="s">
        <v>1919</v>
      </c>
      <c r="E1145" s="18" t="s">
        <v>2027</v>
      </c>
      <c r="F1145" s="12">
        <v>45</v>
      </c>
      <c r="G1145" s="3" t="s">
        <v>0</v>
      </c>
      <c r="H1145" s="39">
        <v>41431</v>
      </c>
      <c r="I1145" s="27" t="s">
        <v>984</v>
      </c>
      <c r="J1145" s="4" t="s">
        <v>1962</v>
      </c>
      <c r="K1145" s="4" t="s">
        <v>988</v>
      </c>
      <c r="L1145" s="29" t="s">
        <v>977</v>
      </c>
      <c r="M1145" s="78">
        <f t="shared" si="218"/>
        <v>2763.9</v>
      </c>
      <c r="N1145" s="78">
        <f t="shared" si="222"/>
        <v>61.42</v>
      </c>
      <c r="O1145" s="78">
        <v>2763.9</v>
      </c>
      <c r="P1145" s="72">
        <v>3540</v>
      </c>
      <c r="Q1145" s="256">
        <f t="shared" si="223"/>
        <v>778.8</v>
      </c>
      <c r="R1145" s="256">
        <f t="shared" si="224"/>
        <v>4318.8</v>
      </c>
      <c r="S1145" s="296"/>
      <c r="T1145" s="3">
        <v>47</v>
      </c>
      <c r="U1145" s="293"/>
    </row>
    <row r="1146" spans="1:21" ht="15" customHeight="1" x14ac:dyDescent="0.35">
      <c r="A1146" s="218" t="s">
        <v>3469</v>
      </c>
      <c r="B1146" s="3">
        <v>1096</v>
      </c>
      <c r="C1146" s="65">
        <v>10148690</v>
      </c>
      <c r="D1146" s="8" t="s">
        <v>1377</v>
      </c>
      <c r="E1146" s="19" t="s">
        <v>2219</v>
      </c>
      <c r="F1146" s="92">
        <v>1</v>
      </c>
      <c r="G1146" s="3" t="s">
        <v>0</v>
      </c>
      <c r="H1146" s="40">
        <v>41518</v>
      </c>
      <c r="I1146" s="27" t="s">
        <v>984</v>
      </c>
      <c r="J1146" s="41" t="s">
        <v>1409</v>
      </c>
      <c r="K1146" s="4" t="s">
        <v>988</v>
      </c>
      <c r="L1146" s="29" t="s">
        <v>977</v>
      </c>
      <c r="M1146" s="78">
        <f t="shared" si="218"/>
        <v>193.03</v>
      </c>
      <c r="N1146" s="78">
        <f t="shared" si="222"/>
        <v>193.03</v>
      </c>
      <c r="O1146" s="78">
        <v>193.03</v>
      </c>
      <c r="P1146" s="72">
        <v>240</v>
      </c>
      <c r="Q1146" s="256">
        <f t="shared" si="223"/>
        <v>52.8</v>
      </c>
      <c r="R1146" s="256">
        <f t="shared" si="224"/>
        <v>292.8</v>
      </c>
      <c r="S1146" s="296"/>
      <c r="T1146" s="3">
        <v>47</v>
      </c>
      <c r="U1146" s="293"/>
    </row>
    <row r="1147" spans="1:21" ht="15" customHeight="1" x14ac:dyDescent="0.35">
      <c r="A1147" s="218" t="s">
        <v>3470</v>
      </c>
      <c r="B1147" s="3">
        <v>1097</v>
      </c>
      <c r="C1147" s="44">
        <v>10006969</v>
      </c>
      <c r="D1147" s="18" t="s">
        <v>1773</v>
      </c>
      <c r="E1147" s="18" t="s">
        <v>2027</v>
      </c>
      <c r="F1147" s="12">
        <v>83</v>
      </c>
      <c r="G1147" s="3" t="s">
        <v>0</v>
      </c>
      <c r="H1147" s="39">
        <v>41431</v>
      </c>
      <c r="I1147" s="27" t="s">
        <v>984</v>
      </c>
      <c r="J1147" s="4" t="s">
        <v>1962</v>
      </c>
      <c r="K1147" s="4" t="s">
        <v>988</v>
      </c>
      <c r="L1147" s="29" t="s">
        <v>977</v>
      </c>
      <c r="M1147" s="90">
        <f t="shared" si="218"/>
        <v>20189.41</v>
      </c>
      <c r="N1147" s="90">
        <f t="shared" si="222"/>
        <v>243.25</v>
      </c>
      <c r="O1147" s="90">
        <v>20189.41</v>
      </c>
      <c r="P1147" s="72">
        <v>25880</v>
      </c>
      <c r="Q1147" s="256">
        <f t="shared" si="223"/>
        <v>5693.6</v>
      </c>
      <c r="R1147" s="256">
        <f t="shared" si="224"/>
        <v>31573.599999999999</v>
      </c>
      <c r="S1147" s="297"/>
      <c r="T1147" s="3">
        <v>47</v>
      </c>
      <c r="U1147" s="293"/>
    </row>
    <row r="1148" spans="1:21" ht="15" customHeight="1" x14ac:dyDescent="0.35">
      <c r="A1148" s="218"/>
      <c r="B1148" s="94"/>
      <c r="C1148" s="44"/>
      <c r="D1148" s="18"/>
      <c r="E1148" s="18"/>
      <c r="F1148" s="12"/>
      <c r="G1148" s="3"/>
      <c r="H1148" s="39"/>
      <c r="I1148" s="27"/>
      <c r="J1148" s="4"/>
      <c r="K1148" s="4"/>
      <c r="L1148" s="29"/>
      <c r="M1148" s="90"/>
      <c r="N1148" s="90"/>
      <c r="O1148" s="110">
        <f>SUM(O1075:O1147)</f>
        <v>678641.21</v>
      </c>
      <c r="P1148" s="276">
        <f t="shared" ref="P1148:Q1148" si="225">SUM(P1075:P1147)</f>
        <v>867300</v>
      </c>
      <c r="Q1148" s="282">
        <f t="shared" si="225"/>
        <v>190806</v>
      </c>
      <c r="R1148" s="282">
        <f>SUM(R1075:R1147)</f>
        <v>1058106</v>
      </c>
      <c r="S1148" s="286">
        <f>R1148/100*10</f>
        <v>105810.6</v>
      </c>
      <c r="T1148" s="104">
        <v>47</v>
      </c>
      <c r="U1148" s="304"/>
    </row>
    <row r="1149" spans="1:21" ht="15" customHeight="1" x14ac:dyDescent="0.35">
      <c r="A1149" s="218" t="s">
        <v>3471</v>
      </c>
      <c r="B1149" s="3">
        <v>1098</v>
      </c>
      <c r="C1149" s="44">
        <v>10095538</v>
      </c>
      <c r="D1149" s="18" t="s">
        <v>347</v>
      </c>
      <c r="E1149" s="18" t="s">
        <v>2201</v>
      </c>
      <c r="F1149" s="12">
        <v>2</v>
      </c>
      <c r="G1149" s="3" t="s">
        <v>0</v>
      </c>
      <c r="H1149" s="5">
        <v>42824</v>
      </c>
      <c r="I1149" s="5" t="s">
        <v>999</v>
      </c>
      <c r="J1149" s="4" t="s">
        <v>1962</v>
      </c>
      <c r="K1149" s="5" t="s">
        <v>988</v>
      </c>
      <c r="L1149" s="5" t="s">
        <v>871</v>
      </c>
      <c r="M1149" s="72">
        <f t="shared" si="218"/>
        <v>554.6</v>
      </c>
      <c r="N1149" s="72">
        <f t="shared" ref="N1149:N1170" si="226">O1149/F1149</f>
        <v>277.3</v>
      </c>
      <c r="O1149" s="72">
        <v>554.6</v>
      </c>
      <c r="P1149" s="72">
        <v>340</v>
      </c>
      <c r="Q1149" s="256">
        <f t="shared" ref="Q1149:Q1170" si="227">R1149-P1149</f>
        <v>74.8</v>
      </c>
      <c r="R1149" s="256">
        <f t="shared" ref="R1149:R1170" si="228">P1149*1.22</f>
        <v>414.8</v>
      </c>
      <c r="S1149" s="289"/>
      <c r="T1149" s="3">
        <v>48</v>
      </c>
      <c r="U1149" s="292" t="s">
        <v>2328</v>
      </c>
    </row>
    <row r="1150" spans="1:21" ht="15" customHeight="1" x14ac:dyDescent="0.35">
      <c r="A1150" s="218" t="s">
        <v>3472</v>
      </c>
      <c r="B1150" s="3">
        <v>1099</v>
      </c>
      <c r="C1150" s="44">
        <v>10134195</v>
      </c>
      <c r="D1150" s="18" t="s">
        <v>353</v>
      </c>
      <c r="E1150" s="18" t="s">
        <v>2201</v>
      </c>
      <c r="F1150" s="12">
        <v>2</v>
      </c>
      <c r="G1150" s="3" t="s">
        <v>0</v>
      </c>
      <c r="H1150" s="5">
        <v>42824</v>
      </c>
      <c r="I1150" s="5" t="s">
        <v>999</v>
      </c>
      <c r="J1150" s="4" t="s">
        <v>1962</v>
      </c>
      <c r="K1150" s="5" t="s">
        <v>988</v>
      </c>
      <c r="L1150" s="5" t="s">
        <v>871</v>
      </c>
      <c r="M1150" s="72">
        <f t="shared" si="218"/>
        <v>323.04000000000002</v>
      </c>
      <c r="N1150" s="72">
        <f t="shared" si="226"/>
        <v>161.52000000000001</v>
      </c>
      <c r="O1150" s="72">
        <v>323.04000000000002</v>
      </c>
      <c r="P1150" s="72">
        <v>200</v>
      </c>
      <c r="Q1150" s="256">
        <f t="shared" si="227"/>
        <v>44</v>
      </c>
      <c r="R1150" s="256">
        <f t="shared" si="228"/>
        <v>244</v>
      </c>
      <c r="S1150" s="296"/>
      <c r="T1150" s="3">
        <v>48</v>
      </c>
      <c r="U1150" s="293"/>
    </row>
    <row r="1151" spans="1:21" ht="15" customHeight="1" x14ac:dyDescent="0.35">
      <c r="A1151" s="218" t="s">
        <v>3473</v>
      </c>
      <c r="B1151" s="3">
        <v>1100</v>
      </c>
      <c r="C1151" s="44">
        <v>10134214</v>
      </c>
      <c r="D1151" s="18" t="s">
        <v>354</v>
      </c>
      <c r="E1151" s="18" t="s">
        <v>2201</v>
      </c>
      <c r="F1151" s="12">
        <v>2</v>
      </c>
      <c r="G1151" s="3" t="s">
        <v>0</v>
      </c>
      <c r="H1151" s="5">
        <v>42824</v>
      </c>
      <c r="I1151" s="5" t="s">
        <v>999</v>
      </c>
      <c r="J1151" s="4" t="s">
        <v>1962</v>
      </c>
      <c r="K1151" s="5" t="s">
        <v>988</v>
      </c>
      <c r="L1151" s="5" t="s">
        <v>871</v>
      </c>
      <c r="M1151" s="72">
        <f t="shared" si="218"/>
        <v>308.54000000000002</v>
      </c>
      <c r="N1151" s="72">
        <f t="shared" si="226"/>
        <v>154.27000000000001</v>
      </c>
      <c r="O1151" s="72">
        <v>308.54000000000002</v>
      </c>
      <c r="P1151" s="72">
        <v>190</v>
      </c>
      <c r="Q1151" s="256">
        <f t="shared" si="227"/>
        <v>41.8</v>
      </c>
      <c r="R1151" s="256">
        <f t="shared" si="228"/>
        <v>231.8</v>
      </c>
      <c r="S1151" s="296"/>
      <c r="T1151" s="3">
        <v>48</v>
      </c>
      <c r="U1151" s="293"/>
    </row>
    <row r="1152" spans="1:21" ht="15" customHeight="1" x14ac:dyDescent="0.35">
      <c r="A1152" s="218" t="s">
        <v>3474</v>
      </c>
      <c r="B1152" s="3">
        <v>1101</v>
      </c>
      <c r="C1152" s="44">
        <v>10134230</v>
      </c>
      <c r="D1152" s="18" t="s">
        <v>371</v>
      </c>
      <c r="E1152" s="18" t="s">
        <v>2201</v>
      </c>
      <c r="F1152" s="12">
        <v>3</v>
      </c>
      <c r="G1152" s="3" t="s">
        <v>0</v>
      </c>
      <c r="H1152" s="5">
        <v>42824</v>
      </c>
      <c r="I1152" s="5" t="s">
        <v>999</v>
      </c>
      <c r="J1152" s="4" t="s">
        <v>1962</v>
      </c>
      <c r="K1152" s="5" t="s">
        <v>988</v>
      </c>
      <c r="L1152" s="5" t="s">
        <v>871</v>
      </c>
      <c r="M1152" s="72">
        <f t="shared" ref="M1152:M1200" si="229">O1152</f>
        <v>1202.82</v>
      </c>
      <c r="N1152" s="72">
        <f t="shared" si="226"/>
        <v>400.94</v>
      </c>
      <c r="O1152" s="72">
        <v>1202.82</v>
      </c>
      <c r="P1152" s="72">
        <v>730</v>
      </c>
      <c r="Q1152" s="256">
        <f t="shared" si="227"/>
        <v>160.6</v>
      </c>
      <c r="R1152" s="256">
        <f t="shared" si="228"/>
        <v>890.6</v>
      </c>
      <c r="S1152" s="296"/>
      <c r="T1152" s="3">
        <v>48</v>
      </c>
      <c r="U1152" s="293"/>
    </row>
    <row r="1153" spans="1:21" ht="15" customHeight="1" x14ac:dyDescent="0.35">
      <c r="A1153" s="218" t="s">
        <v>3475</v>
      </c>
      <c r="B1153" s="3">
        <v>1102</v>
      </c>
      <c r="C1153" s="44">
        <v>10094708</v>
      </c>
      <c r="D1153" s="18" t="s">
        <v>373</v>
      </c>
      <c r="E1153" s="18" t="s">
        <v>2201</v>
      </c>
      <c r="F1153" s="12">
        <v>4</v>
      </c>
      <c r="G1153" s="3" t="s">
        <v>52</v>
      </c>
      <c r="H1153" s="5">
        <v>42824</v>
      </c>
      <c r="I1153" s="5" t="s">
        <v>999</v>
      </c>
      <c r="J1153" s="4" t="s">
        <v>1962</v>
      </c>
      <c r="K1153" s="5" t="s">
        <v>988</v>
      </c>
      <c r="L1153" s="5" t="s">
        <v>871</v>
      </c>
      <c r="M1153" s="72">
        <f t="shared" si="229"/>
        <v>572.80999999999995</v>
      </c>
      <c r="N1153" s="72">
        <f t="shared" si="226"/>
        <v>143.19999999999999</v>
      </c>
      <c r="O1153" s="72">
        <v>572.80999999999995</v>
      </c>
      <c r="P1153" s="72">
        <v>310</v>
      </c>
      <c r="Q1153" s="256">
        <f t="shared" si="227"/>
        <v>68.2</v>
      </c>
      <c r="R1153" s="256">
        <f t="shared" si="228"/>
        <v>378.2</v>
      </c>
      <c r="S1153" s="296"/>
      <c r="T1153" s="3">
        <v>48</v>
      </c>
      <c r="U1153" s="293"/>
    </row>
    <row r="1154" spans="1:21" ht="15" customHeight="1" x14ac:dyDescent="0.35">
      <c r="A1154" s="218" t="s">
        <v>3476</v>
      </c>
      <c r="B1154" s="3">
        <v>1103</v>
      </c>
      <c r="C1154" s="44">
        <v>10134216</v>
      </c>
      <c r="D1154" s="18" t="s">
        <v>376</v>
      </c>
      <c r="E1154" s="18" t="s">
        <v>2201</v>
      </c>
      <c r="F1154" s="12">
        <v>4</v>
      </c>
      <c r="G1154" s="3" t="s">
        <v>0</v>
      </c>
      <c r="H1154" s="5">
        <v>42824</v>
      </c>
      <c r="I1154" s="5" t="s">
        <v>999</v>
      </c>
      <c r="J1154" s="4" t="s">
        <v>1962</v>
      </c>
      <c r="K1154" s="5" t="s">
        <v>988</v>
      </c>
      <c r="L1154" s="5" t="s">
        <v>871</v>
      </c>
      <c r="M1154" s="72">
        <f t="shared" si="229"/>
        <v>1574.88</v>
      </c>
      <c r="N1154" s="72">
        <f t="shared" si="226"/>
        <v>393.72</v>
      </c>
      <c r="O1154" s="72">
        <v>1574.88</v>
      </c>
      <c r="P1154" s="72">
        <v>950</v>
      </c>
      <c r="Q1154" s="256">
        <f t="shared" si="227"/>
        <v>209</v>
      </c>
      <c r="R1154" s="256">
        <f t="shared" si="228"/>
        <v>1159</v>
      </c>
      <c r="S1154" s="296"/>
      <c r="T1154" s="3">
        <v>48</v>
      </c>
      <c r="U1154" s="293"/>
    </row>
    <row r="1155" spans="1:21" ht="15" customHeight="1" x14ac:dyDescent="0.35">
      <c r="A1155" s="218" t="s">
        <v>3477</v>
      </c>
      <c r="B1155" s="3">
        <v>1104</v>
      </c>
      <c r="C1155" s="44">
        <v>10107989</v>
      </c>
      <c r="D1155" s="18" t="s">
        <v>380</v>
      </c>
      <c r="E1155" s="18" t="s">
        <v>2201</v>
      </c>
      <c r="F1155" s="12">
        <v>5</v>
      </c>
      <c r="G1155" s="3" t="s">
        <v>0</v>
      </c>
      <c r="H1155" s="5">
        <v>42824</v>
      </c>
      <c r="I1155" s="5" t="s">
        <v>999</v>
      </c>
      <c r="J1155" s="4" t="s">
        <v>1962</v>
      </c>
      <c r="K1155" s="5" t="s">
        <v>988</v>
      </c>
      <c r="L1155" s="5" t="s">
        <v>871</v>
      </c>
      <c r="M1155" s="72">
        <f t="shared" si="229"/>
        <v>1452.92</v>
      </c>
      <c r="N1155" s="72">
        <f t="shared" si="226"/>
        <v>290.58</v>
      </c>
      <c r="O1155" s="72">
        <v>1452.92</v>
      </c>
      <c r="P1155" s="72">
        <v>880</v>
      </c>
      <c r="Q1155" s="256">
        <f t="shared" si="227"/>
        <v>193.6</v>
      </c>
      <c r="R1155" s="256">
        <f t="shared" si="228"/>
        <v>1073.5999999999999</v>
      </c>
      <c r="S1155" s="296"/>
      <c r="T1155" s="3">
        <v>48</v>
      </c>
      <c r="U1155" s="293"/>
    </row>
    <row r="1156" spans="1:21" ht="15" customHeight="1" x14ac:dyDescent="0.35">
      <c r="A1156" s="218" t="s">
        <v>3478</v>
      </c>
      <c r="B1156" s="3">
        <v>1105</v>
      </c>
      <c r="C1156" s="44">
        <v>10108004</v>
      </c>
      <c r="D1156" s="18" t="s">
        <v>381</v>
      </c>
      <c r="E1156" s="18" t="s">
        <v>2201</v>
      </c>
      <c r="F1156" s="12">
        <v>5</v>
      </c>
      <c r="G1156" s="3" t="s">
        <v>0</v>
      </c>
      <c r="H1156" s="5">
        <v>42824</v>
      </c>
      <c r="I1156" s="5" t="s">
        <v>999</v>
      </c>
      <c r="J1156" s="4" t="s">
        <v>1962</v>
      </c>
      <c r="K1156" s="5" t="s">
        <v>988</v>
      </c>
      <c r="L1156" s="5" t="s">
        <v>871</v>
      </c>
      <c r="M1156" s="72">
        <f t="shared" si="229"/>
        <v>3041.97</v>
      </c>
      <c r="N1156" s="72">
        <f t="shared" si="226"/>
        <v>608.39</v>
      </c>
      <c r="O1156" s="72">
        <v>3041.97</v>
      </c>
      <c r="P1156" s="72">
        <v>1840</v>
      </c>
      <c r="Q1156" s="256">
        <f t="shared" si="227"/>
        <v>404.8</v>
      </c>
      <c r="R1156" s="256">
        <f t="shared" si="228"/>
        <v>2244.8000000000002</v>
      </c>
      <c r="S1156" s="296"/>
      <c r="T1156" s="3">
        <v>48</v>
      </c>
      <c r="U1156" s="293"/>
    </row>
    <row r="1157" spans="1:21" ht="15" customHeight="1" x14ac:dyDescent="0.35">
      <c r="A1157" s="218" t="s">
        <v>3479</v>
      </c>
      <c r="B1157" s="3">
        <v>1106</v>
      </c>
      <c r="C1157" s="44">
        <v>10108006</v>
      </c>
      <c r="D1157" s="18" t="s">
        <v>387</v>
      </c>
      <c r="E1157" s="18" t="s">
        <v>2201</v>
      </c>
      <c r="F1157" s="12">
        <v>6</v>
      </c>
      <c r="G1157" s="3" t="s">
        <v>0</v>
      </c>
      <c r="H1157" s="5">
        <v>42824</v>
      </c>
      <c r="I1157" s="5" t="s">
        <v>999</v>
      </c>
      <c r="J1157" s="4" t="s">
        <v>1962</v>
      </c>
      <c r="K1157" s="5" t="s">
        <v>988</v>
      </c>
      <c r="L1157" s="5" t="s">
        <v>871</v>
      </c>
      <c r="M1157" s="72">
        <f t="shared" si="229"/>
        <v>1106.27</v>
      </c>
      <c r="N1157" s="72">
        <f t="shared" si="226"/>
        <v>184.38</v>
      </c>
      <c r="O1157" s="72">
        <v>1106.27</v>
      </c>
      <c r="P1157" s="72">
        <v>670</v>
      </c>
      <c r="Q1157" s="256">
        <f t="shared" si="227"/>
        <v>147.4</v>
      </c>
      <c r="R1157" s="256">
        <f t="shared" si="228"/>
        <v>817.4</v>
      </c>
      <c r="S1157" s="296"/>
      <c r="T1157" s="3">
        <v>48</v>
      </c>
      <c r="U1157" s="293"/>
    </row>
    <row r="1158" spans="1:21" ht="30" customHeight="1" x14ac:dyDescent="0.35">
      <c r="A1158" s="218" t="s">
        <v>3480</v>
      </c>
      <c r="B1158" s="3">
        <v>1107</v>
      </c>
      <c r="C1158" s="44">
        <v>10133856</v>
      </c>
      <c r="D1158" s="18" t="s">
        <v>389</v>
      </c>
      <c r="E1158" s="18" t="s">
        <v>2201</v>
      </c>
      <c r="F1158" s="12">
        <v>6</v>
      </c>
      <c r="G1158" s="3" t="s">
        <v>0</v>
      </c>
      <c r="H1158" s="5">
        <v>42824</v>
      </c>
      <c r="I1158" s="5" t="s">
        <v>999</v>
      </c>
      <c r="J1158" s="4" t="s">
        <v>1962</v>
      </c>
      <c r="K1158" s="5" t="s">
        <v>988</v>
      </c>
      <c r="L1158" s="5" t="s">
        <v>871</v>
      </c>
      <c r="M1158" s="72">
        <f t="shared" si="229"/>
        <v>1215.24</v>
      </c>
      <c r="N1158" s="72">
        <f t="shared" si="226"/>
        <v>202.54</v>
      </c>
      <c r="O1158" s="72">
        <v>1215.24</v>
      </c>
      <c r="P1158" s="72">
        <v>730</v>
      </c>
      <c r="Q1158" s="256">
        <f t="shared" si="227"/>
        <v>160.6</v>
      </c>
      <c r="R1158" s="256">
        <f t="shared" si="228"/>
        <v>890.6</v>
      </c>
      <c r="S1158" s="296"/>
      <c r="T1158" s="3">
        <v>48</v>
      </c>
      <c r="U1158" s="293"/>
    </row>
    <row r="1159" spans="1:21" ht="15" customHeight="1" x14ac:dyDescent="0.35">
      <c r="A1159" s="218" t="s">
        <v>3481</v>
      </c>
      <c r="B1159" s="3">
        <v>1108</v>
      </c>
      <c r="C1159" s="44">
        <v>10134190</v>
      </c>
      <c r="D1159" s="18" t="s">
        <v>397</v>
      </c>
      <c r="E1159" s="18" t="s">
        <v>2201</v>
      </c>
      <c r="F1159" s="12">
        <v>9</v>
      </c>
      <c r="G1159" s="3" t="s">
        <v>0</v>
      </c>
      <c r="H1159" s="5">
        <v>42824</v>
      </c>
      <c r="I1159" s="5" t="s">
        <v>999</v>
      </c>
      <c r="J1159" s="4" t="s">
        <v>1962</v>
      </c>
      <c r="K1159" s="5" t="s">
        <v>988</v>
      </c>
      <c r="L1159" s="5" t="s">
        <v>871</v>
      </c>
      <c r="M1159" s="72">
        <f t="shared" si="229"/>
        <v>3215.52</v>
      </c>
      <c r="N1159" s="72">
        <f t="shared" si="226"/>
        <v>357.28</v>
      </c>
      <c r="O1159" s="72">
        <v>3215.52</v>
      </c>
      <c r="P1159" s="72">
        <v>1940</v>
      </c>
      <c r="Q1159" s="256">
        <f t="shared" si="227"/>
        <v>426.8</v>
      </c>
      <c r="R1159" s="256">
        <f t="shared" si="228"/>
        <v>2366.8000000000002</v>
      </c>
      <c r="S1159" s="296"/>
      <c r="T1159" s="3">
        <v>48</v>
      </c>
      <c r="U1159" s="293"/>
    </row>
    <row r="1160" spans="1:21" ht="15" customHeight="1" x14ac:dyDescent="0.35">
      <c r="A1160" s="218" t="s">
        <v>3482</v>
      </c>
      <c r="B1160" s="3">
        <v>1109</v>
      </c>
      <c r="C1160" s="44">
        <v>10130670</v>
      </c>
      <c r="D1160" s="18" t="s">
        <v>404</v>
      </c>
      <c r="E1160" s="18" t="s">
        <v>2201</v>
      </c>
      <c r="F1160" s="12">
        <v>18</v>
      </c>
      <c r="G1160" s="3" t="s">
        <v>0</v>
      </c>
      <c r="H1160" s="5">
        <v>42824</v>
      </c>
      <c r="I1160" s="5" t="s">
        <v>999</v>
      </c>
      <c r="J1160" s="4" t="s">
        <v>1962</v>
      </c>
      <c r="K1160" s="5" t="s">
        <v>988</v>
      </c>
      <c r="L1160" s="5" t="s">
        <v>871</v>
      </c>
      <c r="M1160" s="72">
        <f t="shared" si="229"/>
        <v>8952.1200000000008</v>
      </c>
      <c r="N1160" s="72">
        <f t="shared" si="226"/>
        <v>497.34</v>
      </c>
      <c r="O1160" s="72">
        <v>8952.1200000000008</v>
      </c>
      <c r="P1160" s="72">
        <v>5410</v>
      </c>
      <c r="Q1160" s="256">
        <f t="shared" si="227"/>
        <v>1190.2</v>
      </c>
      <c r="R1160" s="256">
        <f t="shared" si="228"/>
        <v>6600.2</v>
      </c>
      <c r="S1160" s="296"/>
      <c r="T1160" s="3">
        <v>48</v>
      </c>
      <c r="U1160" s="293"/>
    </row>
    <row r="1161" spans="1:21" ht="15" customHeight="1" x14ac:dyDescent="0.35">
      <c r="A1161" s="218" t="s">
        <v>3483</v>
      </c>
      <c r="B1161" s="3">
        <v>1110</v>
      </c>
      <c r="C1161" s="18">
        <v>10108495</v>
      </c>
      <c r="D1161" s="18" t="s">
        <v>2186</v>
      </c>
      <c r="E1161" s="18" t="s">
        <v>2197</v>
      </c>
      <c r="F1161" s="12">
        <v>10</v>
      </c>
      <c r="G1161" s="3" t="s">
        <v>17</v>
      </c>
      <c r="H1161" s="3">
        <v>2007</v>
      </c>
      <c r="I1161" s="13" t="s">
        <v>999</v>
      </c>
      <c r="J1161" s="4" t="s">
        <v>1962</v>
      </c>
      <c r="K1161" s="4" t="s">
        <v>988</v>
      </c>
      <c r="L1161" s="5" t="s">
        <v>871</v>
      </c>
      <c r="M1161" s="72">
        <f t="shared" si="229"/>
        <v>275.60000000000002</v>
      </c>
      <c r="N1161" s="72">
        <f t="shared" si="226"/>
        <v>27.56</v>
      </c>
      <c r="O1161" s="72">
        <v>275.60000000000002</v>
      </c>
      <c r="P1161" s="72">
        <v>300</v>
      </c>
      <c r="Q1161" s="256">
        <f t="shared" si="227"/>
        <v>66</v>
      </c>
      <c r="R1161" s="256">
        <f t="shared" si="228"/>
        <v>366</v>
      </c>
      <c r="S1161" s="296"/>
      <c r="T1161" s="3">
        <v>48</v>
      </c>
      <c r="U1161" s="293"/>
    </row>
    <row r="1162" spans="1:21" ht="30" customHeight="1" x14ac:dyDescent="0.35">
      <c r="A1162" s="218" t="s">
        <v>3484</v>
      </c>
      <c r="B1162" s="3">
        <v>1111</v>
      </c>
      <c r="C1162" s="44">
        <v>10136935</v>
      </c>
      <c r="D1162" s="18" t="s">
        <v>94</v>
      </c>
      <c r="E1162" s="18" t="s">
        <v>2027</v>
      </c>
      <c r="F1162" s="12">
        <f>25-20</f>
        <v>5</v>
      </c>
      <c r="G1162" s="3" t="s">
        <v>17</v>
      </c>
      <c r="H1162" s="5" t="s">
        <v>525</v>
      </c>
      <c r="I1162" s="27" t="s">
        <v>984</v>
      </c>
      <c r="J1162" s="5" t="s">
        <v>1962</v>
      </c>
      <c r="K1162" s="5" t="s">
        <v>2055</v>
      </c>
      <c r="L1162" s="5" t="s">
        <v>2147</v>
      </c>
      <c r="M1162" s="72">
        <f t="shared" si="229"/>
        <v>465.65</v>
      </c>
      <c r="N1162" s="72">
        <f t="shared" si="226"/>
        <v>93.13</v>
      </c>
      <c r="O1162" s="72">
        <v>465.65</v>
      </c>
      <c r="P1162" s="72">
        <v>480</v>
      </c>
      <c r="Q1162" s="256">
        <f t="shared" si="227"/>
        <v>105.6</v>
      </c>
      <c r="R1162" s="256">
        <f t="shared" si="228"/>
        <v>585.6</v>
      </c>
      <c r="S1162" s="296"/>
      <c r="T1162" s="3">
        <v>48</v>
      </c>
      <c r="U1162" s="293"/>
    </row>
    <row r="1163" spans="1:21" ht="15" customHeight="1" x14ac:dyDescent="0.35">
      <c r="A1163" s="218" t="s">
        <v>3485</v>
      </c>
      <c r="B1163" s="3">
        <v>1112</v>
      </c>
      <c r="C1163" s="44">
        <v>10108003</v>
      </c>
      <c r="D1163" s="18" t="s">
        <v>121</v>
      </c>
      <c r="E1163" s="18" t="s">
        <v>2027</v>
      </c>
      <c r="F1163" s="12">
        <v>140</v>
      </c>
      <c r="G1163" s="3" t="s">
        <v>17</v>
      </c>
      <c r="H1163" s="5">
        <v>41974</v>
      </c>
      <c r="I1163" s="27" t="s">
        <v>984</v>
      </c>
      <c r="J1163" s="5" t="s">
        <v>1962</v>
      </c>
      <c r="K1163" s="5" t="s">
        <v>2056</v>
      </c>
      <c r="L1163" s="5" t="s">
        <v>2147</v>
      </c>
      <c r="M1163" s="72">
        <f t="shared" si="229"/>
        <v>9902.2000000000007</v>
      </c>
      <c r="N1163" s="72">
        <f t="shared" si="226"/>
        <v>70.73</v>
      </c>
      <c r="O1163" s="72">
        <v>9902.2000000000007</v>
      </c>
      <c r="P1163" s="72">
        <v>10240</v>
      </c>
      <c r="Q1163" s="256">
        <f t="shared" si="227"/>
        <v>2252.8000000000002</v>
      </c>
      <c r="R1163" s="256">
        <f t="shared" si="228"/>
        <v>12492.8</v>
      </c>
      <c r="S1163" s="296"/>
      <c r="T1163" s="3">
        <v>48</v>
      </c>
      <c r="U1163" s="293"/>
    </row>
    <row r="1164" spans="1:21" ht="15" customHeight="1" x14ac:dyDescent="0.35">
      <c r="A1164" s="218" t="s">
        <v>3486</v>
      </c>
      <c r="B1164" s="3">
        <v>1113</v>
      </c>
      <c r="C1164" s="44">
        <v>10109047</v>
      </c>
      <c r="D1164" s="18" t="s">
        <v>130</v>
      </c>
      <c r="E1164" s="18" t="s">
        <v>2219</v>
      </c>
      <c r="F1164" s="12">
        <f>328-20-100-4</f>
        <v>204</v>
      </c>
      <c r="G1164" s="3" t="s">
        <v>17</v>
      </c>
      <c r="H1164" s="5">
        <v>41974</v>
      </c>
      <c r="I1164" s="27" t="s">
        <v>984</v>
      </c>
      <c r="J1164" s="5" t="s">
        <v>1962</v>
      </c>
      <c r="K1164" s="5" t="s">
        <v>2057</v>
      </c>
      <c r="L1164" s="5" t="s">
        <v>2147</v>
      </c>
      <c r="M1164" s="72">
        <f t="shared" si="229"/>
        <v>14427.13</v>
      </c>
      <c r="N1164" s="72">
        <f t="shared" si="226"/>
        <v>70.72</v>
      </c>
      <c r="O1164" s="72">
        <f>21782.13/308*204</f>
        <v>14427.13</v>
      </c>
      <c r="P1164" s="72">
        <v>14920</v>
      </c>
      <c r="Q1164" s="256">
        <f t="shared" si="227"/>
        <v>3282.4</v>
      </c>
      <c r="R1164" s="256">
        <f t="shared" si="228"/>
        <v>18202.400000000001</v>
      </c>
      <c r="S1164" s="296"/>
      <c r="T1164" s="3">
        <v>48</v>
      </c>
      <c r="U1164" s="293"/>
    </row>
    <row r="1165" spans="1:21" ht="15" customHeight="1" x14ac:dyDescent="0.35">
      <c r="A1165" s="218" t="s">
        <v>3487</v>
      </c>
      <c r="B1165" s="3">
        <v>1114</v>
      </c>
      <c r="C1165" s="44">
        <v>10111975</v>
      </c>
      <c r="D1165" s="18" t="s">
        <v>85</v>
      </c>
      <c r="E1165" s="18" t="s">
        <v>2027</v>
      </c>
      <c r="F1165" s="12">
        <v>13</v>
      </c>
      <c r="G1165" s="3" t="s">
        <v>28</v>
      </c>
      <c r="H1165" s="49">
        <v>2014</v>
      </c>
      <c r="I1165" s="27" t="s">
        <v>984</v>
      </c>
      <c r="J1165" s="5" t="s">
        <v>1962</v>
      </c>
      <c r="K1165" s="49" t="s">
        <v>2083</v>
      </c>
      <c r="L1165" s="5" t="s">
        <v>2147</v>
      </c>
      <c r="M1165" s="72">
        <f t="shared" si="229"/>
        <v>6672.7</v>
      </c>
      <c r="N1165" s="72">
        <f t="shared" si="226"/>
        <v>513.28</v>
      </c>
      <c r="O1165" s="72">
        <v>6672.7</v>
      </c>
      <c r="P1165" s="72">
        <v>7060</v>
      </c>
      <c r="Q1165" s="256">
        <f t="shared" si="227"/>
        <v>1553.2</v>
      </c>
      <c r="R1165" s="256">
        <f t="shared" si="228"/>
        <v>8613.2000000000007</v>
      </c>
      <c r="S1165" s="296"/>
      <c r="T1165" s="3">
        <v>48</v>
      </c>
      <c r="U1165" s="293"/>
    </row>
    <row r="1166" spans="1:21" ht="15" customHeight="1" x14ac:dyDescent="0.35">
      <c r="A1166" s="218" t="s">
        <v>3488</v>
      </c>
      <c r="B1166" s="3">
        <v>1115</v>
      </c>
      <c r="C1166" s="44">
        <v>10015411</v>
      </c>
      <c r="D1166" s="18" t="s">
        <v>102</v>
      </c>
      <c r="E1166" s="18" t="s">
        <v>2027</v>
      </c>
      <c r="F1166" s="12">
        <v>42</v>
      </c>
      <c r="G1166" s="3" t="s">
        <v>0</v>
      </c>
      <c r="H1166" s="49">
        <v>2014</v>
      </c>
      <c r="I1166" s="27" t="s">
        <v>984</v>
      </c>
      <c r="J1166" s="5" t="s">
        <v>1962</v>
      </c>
      <c r="K1166" s="49" t="s">
        <v>2088</v>
      </c>
      <c r="L1166" s="5" t="s">
        <v>2147</v>
      </c>
      <c r="M1166" s="72">
        <f t="shared" si="229"/>
        <v>10366.02</v>
      </c>
      <c r="N1166" s="72">
        <f t="shared" si="226"/>
        <v>246.81</v>
      </c>
      <c r="O1166" s="72">
        <v>10366.02</v>
      </c>
      <c r="P1166" s="72">
        <v>10970</v>
      </c>
      <c r="Q1166" s="256">
        <f t="shared" si="227"/>
        <v>2413.4</v>
      </c>
      <c r="R1166" s="256">
        <f t="shared" si="228"/>
        <v>13383.4</v>
      </c>
      <c r="S1166" s="296"/>
      <c r="T1166" s="3">
        <v>48</v>
      </c>
      <c r="U1166" s="293"/>
    </row>
    <row r="1167" spans="1:21" ht="15" customHeight="1" x14ac:dyDescent="0.35">
      <c r="A1167" s="218" t="s">
        <v>3489</v>
      </c>
      <c r="B1167" s="3">
        <v>1116</v>
      </c>
      <c r="C1167" s="44">
        <v>10110758</v>
      </c>
      <c r="D1167" s="18" t="s">
        <v>105</v>
      </c>
      <c r="E1167" s="18" t="s">
        <v>2027</v>
      </c>
      <c r="F1167" s="12">
        <v>50</v>
      </c>
      <c r="G1167" s="3" t="s">
        <v>0</v>
      </c>
      <c r="H1167" s="49">
        <v>2014</v>
      </c>
      <c r="I1167" s="27" t="s">
        <v>984</v>
      </c>
      <c r="J1167" s="5" t="s">
        <v>1962</v>
      </c>
      <c r="K1167" s="49" t="s">
        <v>2090</v>
      </c>
      <c r="L1167" s="5" t="s">
        <v>2147</v>
      </c>
      <c r="M1167" s="72">
        <f t="shared" si="229"/>
        <v>264.5</v>
      </c>
      <c r="N1167" s="72">
        <f t="shared" si="226"/>
        <v>5.29</v>
      </c>
      <c r="O1167" s="72">
        <v>264.5</v>
      </c>
      <c r="P1167" s="72">
        <v>270</v>
      </c>
      <c r="Q1167" s="256">
        <f t="shared" si="227"/>
        <v>59.4</v>
      </c>
      <c r="R1167" s="256">
        <f t="shared" si="228"/>
        <v>329.4</v>
      </c>
      <c r="S1167" s="296"/>
      <c r="T1167" s="3">
        <v>48</v>
      </c>
      <c r="U1167" s="293"/>
    </row>
    <row r="1168" spans="1:21" ht="15" customHeight="1" x14ac:dyDescent="0.35">
      <c r="A1168" s="218" t="s">
        <v>3490</v>
      </c>
      <c r="B1168" s="3">
        <v>1117</v>
      </c>
      <c r="C1168" s="44">
        <v>10010748</v>
      </c>
      <c r="D1168" s="18" t="s">
        <v>117</v>
      </c>
      <c r="E1168" s="18" t="s">
        <v>2027</v>
      </c>
      <c r="F1168" s="12">
        <f>88-35</f>
        <v>53</v>
      </c>
      <c r="G1168" s="3" t="s">
        <v>52</v>
      </c>
      <c r="H1168" s="49">
        <v>2014</v>
      </c>
      <c r="I1168" s="27" t="s">
        <v>984</v>
      </c>
      <c r="J1168" s="5" t="s">
        <v>1962</v>
      </c>
      <c r="K1168" s="49" t="s">
        <v>2095</v>
      </c>
      <c r="L1168" s="5" t="s">
        <v>2147</v>
      </c>
      <c r="M1168" s="72">
        <f t="shared" si="229"/>
        <v>5157.71</v>
      </c>
      <c r="N1168" s="72">
        <f t="shared" si="226"/>
        <v>97.32</v>
      </c>
      <c r="O1168" s="72">
        <f>8563.74/88*53</f>
        <v>5157.71</v>
      </c>
      <c r="P1168" s="72">
        <v>5190</v>
      </c>
      <c r="Q1168" s="256">
        <f t="shared" si="227"/>
        <v>1141.8</v>
      </c>
      <c r="R1168" s="256">
        <f t="shared" si="228"/>
        <v>6331.8</v>
      </c>
      <c r="S1168" s="296"/>
      <c r="T1168" s="3">
        <v>48</v>
      </c>
      <c r="U1168" s="293"/>
    </row>
    <row r="1169" spans="1:21" ht="15" customHeight="1" x14ac:dyDescent="0.35">
      <c r="A1169" s="218" t="s">
        <v>4097</v>
      </c>
      <c r="B1169" s="3">
        <v>1118</v>
      </c>
      <c r="C1169" s="44">
        <v>10010748</v>
      </c>
      <c r="D1169" s="18" t="s">
        <v>117</v>
      </c>
      <c r="E1169" s="18" t="s">
        <v>2219</v>
      </c>
      <c r="F1169" s="12">
        <v>35</v>
      </c>
      <c r="G1169" s="3" t="s">
        <v>52</v>
      </c>
      <c r="H1169" s="49">
        <v>2014</v>
      </c>
      <c r="I1169" s="27" t="s">
        <v>984</v>
      </c>
      <c r="J1169" s="4" t="s">
        <v>1962</v>
      </c>
      <c r="K1169" s="4" t="s">
        <v>988</v>
      </c>
      <c r="L1169" s="29" t="s">
        <v>977</v>
      </c>
      <c r="M1169" s="72">
        <f t="shared" si="229"/>
        <v>3406.03</v>
      </c>
      <c r="N1169" s="72">
        <f t="shared" si="226"/>
        <v>97.32</v>
      </c>
      <c r="O1169" s="72">
        <v>3406.03</v>
      </c>
      <c r="P1169" s="72">
        <v>4020</v>
      </c>
      <c r="Q1169" s="256">
        <f t="shared" si="227"/>
        <v>884.4</v>
      </c>
      <c r="R1169" s="256">
        <f t="shared" si="228"/>
        <v>4904.3999999999996</v>
      </c>
      <c r="S1169" s="296"/>
      <c r="T1169" s="3">
        <v>48</v>
      </c>
      <c r="U1169" s="293"/>
    </row>
    <row r="1170" spans="1:21" ht="15" customHeight="1" x14ac:dyDescent="0.35">
      <c r="A1170" s="218" t="s">
        <v>3491</v>
      </c>
      <c r="B1170" s="3">
        <v>1119</v>
      </c>
      <c r="C1170" s="44">
        <v>10007615</v>
      </c>
      <c r="D1170" s="18" t="s">
        <v>530</v>
      </c>
      <c r="E1170" s="18" t="s">
        <v>2027</v>
      </c>
      <c r="F1170" s="12">
        <v>1</v>
      </c>
      <c r="G1170" s="3" t="s">
        <v>52</v>
      </c>
      <c r="H1170" s="49">
        <v>2014</v>
      </c>
      <c r="I1170" s="27" t="s">
        <v>984</v>
      </c>
      <c r="J1170" s="5" t="s">
        <v>1962</v>
      </c>
      <c r="K1170" s="49" t="s">
        <v>2102</v>
      </c>
      <c r="L1170" s="5" t="s">
        <v>2147</v>
      </c>
      <c r="M1170" s="72">
        <f t="shared" si="229"/>
        <v>546.61</v>
      </c>
      <c r="N1170" s="72">
        <f t="shared" si="226"/>
        <v>546.61</v>
      </c>
      <c r="O1170" s="72">
        <v>546.61</v>
      </c>
      <c r="P1170" s="72">
        <v>580</v>
      </c>
      <c r="Q1170" s="256">
        <f t="shared" si="227"/>
        <v>127.6</v>
      </c>
      <c r="R1170" s="256">
        <f t="shared" si="228"/>
        <v>707.6</v>
      </c>
      <c r="S1170" s="297"/>
      <c r="T1170" s="3">
        <v>48</v>
      </c>
      <c r="U1170" s="293"/>
    </row>
    <row r="1171" spans="1:21" ht="15" customHeight="1" x14ac:dyDescent="0.35">
      <c r="A1171" s="218"/>
      <c r="B1171" s="94"/>
      <c r="C1171" s="44"/>
      <c r="D1171" s="18"/>
      <c r="E1171" s="18"/>
      <c r="F1171" s="12"/>
      <c r="G1171" s="3"/>
      <c r="H1171" s="49"/>
      <c r="I1171" s="27"/>
      <c r="J1171" s="5"/>
      <c r="K1171" s="49"/>
      <c r="L1171" s="5"/>
      <c r="M1171" s="72"/>
      <c r="N1171" s="72"/>
      <c r="O1171" s="82">
        <f>SUM(O1149:O1170)</f>
        <v>75004.88</v>
      </c>
      <c r="P1171" s="276">
        <f t="shared" ref="P1171:Q1171" si="230">SUM(P1149:P1170)</f>
        <v>68220</v>
      </c>
      <c r="Q1171" s="282">
        <f t="shared" si="230"/>
        <v>15008.4</v>
      </c>
      <c r="R1171" s="282">
        <f>SUM(R1149:R1170)</f>
        <v>83228.399999999994</v>
      </c>
      <c r="S1171" s="286">
        <f>R1171/100*10</f>
        <v>8322.84</v>
      </c>
      <c r="T1171" s="104">
        <v>48</v>
      </c>
      <c r="U1171" s="304"/>
    </row>
    <row r="1172" spans="1:21" ht="15" customHeight="1" x14ac:dyDescent="0.35">
      <c r="A1172" s="218" t="s">
        <v>3492</v>
      </c>
      <c r="B1172" s="3">
        <v>1120</v>
      </c>
      <c r="C1172" s="44">
        <v>10118929</v>
      </c>
      <c r="D1172" s="18" t="s">
        <v>1672</v>
      </c>
      <c r="E1172" s="18" t="s">
        <v>2027</v>
      </c>
      <c r="F1172" s="12">
        <v>1</v>
      </c>
      <c r="G1172" s="3" t="s">
        <v>0</v>
      </c>
      <c r="H1172" s="39">
        <v>41610</v>
      </c>
      <c r="I1172" s="27" t="s">
        <v>984</v>
      </c>
      <c r="J1172" s="4" t="s">
        <v>1962</v>
      </c>
      <c r="K1172" s="4" t="s">
        <v>988</v>
      </c>
      <c r="L1172" s="29" t="s">
        <v>977</v>
      </c>
      <c r="M1172" s="78">
        <f t="shared" si="229"/>
        <v>190.68</v>
      </c>
      <c r="N1172" s="78">
        <f t="shared" ref="N1172:N1191" si="231">O1172/F1172</f>
        <v>190.68</v>
      </c>
      <c r="O1172" s="78">
        <v>190.68</v>
      </c>
      <c r="P1172" s="72">
        <v>230</v>
      </c>
      <c r="Q1172" s="256">
        <f t="shared" ref="Q1172:Q1191" si="232">R1172-P1172</f>
        <v>50.6</v>
      </c>
      <c r="R1172" s="256">
        <f t="shared" ref="R1172:R1191" si="233">P1172*1.22</f>
        <v>280.60000000000002</v>
      </c>
      <c r="S1172" s="289"/>
      <c r="T1172" s="3">
        <v>49</v>
      </c>
      <c r="U1172" s="294" t="s">
        <v>2329</v>
      </c>
    </row>
    <row r="1173" spans="1:21" ht="15" customHeight="1" x14ac:dyDescent="0.35">
      <c r="A1173" s="218" t="s">
        <v>3493</v>
      </c>
      <c r="B1173" s="3">
        <v>1121</v>
      </c>
      <c r="C1173" s="44">
        <v>10116829</v>
      </c>
      <c r="D1173" s="18" t="s">
        <v>1674</v>
      </c>
      <c r="E1173" s="18" t="s">
        <v>2027</v>
      </c>
      <c r="F1173" s="12">
        <v>3</v>
      </c>
      <c r="G1173" s="3" t="s">
        <v>0</v>
      </c>
      <c r="H1173" s="39">
        <v>41610</v>
      </c>
      <c r="I1173" s="27" t="s">
        <v>984</v>
      </c>
      <c r="J1173" s="4" t="s">
        <v>1962</v>
      </c>
      <c r="K1173" s="4" t="s">
        <v>988</v>
      </c>
      <c r="L1173" s="29" t="s">
        <v>977</v>
      </c>
      <c r="M1173" s="78">
        <f t="shared" si="229"/>
        <v>508.47</v>
      </c>
      <c r="N1173" s="78">
        <f t="shared" si="231"/>
        <v>169.49</v>
      </c>
      <c r="O1173" s="78">
        <v>508.47</v>
      </c>
      <c r="P1173" s="72">
        <v>610</v>
      </c>
      <c r="Q1173" s="256">
        <f t="shared" si="232"/>
        <v>134.19999999999999</v>
      </c>
      <c r="R1173" s="256">
        <f t="shared" si="233"/>
        <v>744.2</v>
      </c>
      <c r="S1173" s="296"/>
      <c r="T1173" s="3">
        <v>49</v>
      </c>
      <c r="U1173" s="293"/>
    </row>
    <row r="1174" spans="1:21" ht="15" customHeight="1" x14ac:dyDescent="0.35">
      <c r="A1174" s="218" t="s">
        <v>3494</v>
      </c>
      <c r="B1174" s="3">
        <v>1122</v>
      </c>
      <c r="C1174" s="44">
        <v>10006186</v>
      </c>
      <c r="D1174" s="18" t="s">
        <v>84</v>
      </c>
      <c r="E1174" s="18" t="s">
        <v>2228</v>
      </c>
      <c r="F1174" s="12">
        <v>13</v>
      </c>
      <c r="G1174" s="3" t="s">
        <v>8</v>
      </c>
      <c r="H1174" s="49">
        <v>2014</v>
      </c>
      <c r="I1174" s="27" t="s">
        <v>984</v>
      </c>
      <c r="J1174" s="5" t="s">
        <v>1962</v>
      </c>
      <c r="K1174" s="49" t="s">
        <v>2122</v>
      </c>
      <c r="L1174" s="4" t="s">
        <v>977</v>
      </c>
      <c r="M1174" s="81">
        <f t="shared" si="229"/>
        <v>1000.02</v>
      </c>
      <c r="N1174" s="81">
        <f t="shared" si="231"/>
        <v>76.92</v>
      </c>
      <c r="O1174" s="81">
        <v>1000.02</v>
      </c>
      <c r="P1174" s="72">
        <v>1290</v>
      </c>
      <c r="Q1174" s="256">
        <f t="shared" si="232"/>
        <v>283.8</v>
      </c>
      <c r="R1174" s="256">
        <f t="shared" si="233"/>
        <v>1573.8</v>
      </c>
      <c r="S1174" s="296"/>
      <c r="T1174" s="3">
        <v>49</v>
      </c>
      <c r="U1174" s="293"/>
    </row>
    <row r="1175" spans="1:21" ht="15" customHeight="1" x14ac:dyDescent="0.35">
      <c r="A1175" s="218" t="s">
        <v>3495</v>
      </c>
      <c r="B1175" s="3">
        <v>1123</v>
      </c>
      <c r="C1175" s="44">
        <v>10006175</v>
      </c>
      <c r="D1175" s="18" t="s">
        <v>533</v>
      </c>
      <c r="E1175" s="18" t="s">
        <v>2228</v>
      </c>
      <c r="F1175" s="12">
        <v>1</v>
      </c>
      <c r="G1175" s="12" t="s">
        <v>8</v>
      </c>
      <c r="H1175" s="4">
        <v>2014</v>
      </c>
      <c r="I1175" s="27" t="s">
        <v>984</v>
      </c>
      <c r="J1175" s="4" t="s">
        <v>1962</v>
      </c>
      <c r="K1175" s="4" t="s">
        <v>988</v>
      </c>
      <c r="L1175" s="4" t="s">
        <v>977</v>
      </c>
      <c r="M1175" s="81">
        <f t="shared" si="229"/>
        <v>81.569999999999993</v>
      </c>
      <c r="N1175" s="81">
        <f t="shared" si="231"/>
        <v>81.569999999999993</v>
      </c>
      <c r="O1175" s="81">
        <v>81.569999999999993</v>
      </c>
      <c r="P1175" s="72">
        <v>100</v>
      </c>
      <c r="Q1175" s="256">
        <f t="shared" si="232"/>
        <v>22</v>
      </c>
      <c r="R1175" s="256">
        <f t="shared" si="233"/>
        <v>122</v>
      </c>
      <c r="S1175" s="296"/>
      <c r="T1175" s="3">
        <v>49</v>
      </c>
      <c r="U1175" s="293"/>
    </row>
    <row r="1176" spans="1:21" ht="15" customHeight="1" x14ac:dyDescent="0.35">
      <c r="A1176" s="218" t="s">
        <v>3496</v>
      </c>
      <c r="B1176" s="3">
        <v>1124</v>
      </c>
      <c r="C1176" s="44">
        <v>10097503</v>
      </c>
      <c r="D1176" s="18" t="s">
        <v>1784</v>
      </c>
      <c r="E1176" s="18" t="s">
        <v>2228</v>
      </c>
      <c r="F1176" s="12">
        <v>50</v>
      </c>
      <c r="G1176" s="3" t="s">
        <v>8</v>
      </c>
      <c r="H1176" s="39">
        <v>42520</v>
      </c>
      <c r="I1176" s="27" t="s">
        <v>984</v>
      </c>
      <c r="J1176" s="4" t="s">
        <v>1962</v>
      </c>
      <c r="K1176" s="4" t="s">
        <v>988</v>
      </c>
      <c r="L1176" s="29" t="s">
        <v>977</v>
      </c>
      <c r="M1176" s="78">
        <f t="shared" si="229"/>
        <v>59844</v>
      </c>
      <c r="N1176" s="78">
        <f t="shared" si="231"/>
        <v>1196.8800000000001</v>
      </c>
      <c r="O1176" s="78">
        <v>59844</v>
      </c>
      <c r="P1176" s="72">
        <v>68640</v>
      </c>
      <c r="Q1176" s="256">
        <f t="shared" si="232"/>
        <v>15100.8</v>
      </c>
      <c r="R1176" s="256">
        <f t="shared" si="233"/>
        <v>83740.800000000003</v>
      </c>
      <c r="S1176" s="296"/>
      <c r="T1176" s="3">
        <v>49</v>
      </c>
      <c r="U1176" s="293"/>
    </row>
    <row r="1177" spans="1:21" ht="15" customHeight="1" x14ac:dyDescent="0.35">
      <c r="A1177" s="218" t="s">
        <v>3497</v>
      </c>
      <c r="B1177" s="3">
        <v>1125</v>
      </c>
      <c r="C1177" s="44">
        <v>10135922</v>
      </c>
      <c r="D1177" s="18" t="s">
        <v>1789</v>
      </c>
      <c r="E1177" s="18" t="s">
        <v>2228</v>
      </c>
      <c r="F1177" s="12">
        <v>1</v>
      </c>
      <c r="G1177" s="3" t="s">
        <v>0</v>
      </c>
      <c r="H1177" s="39">
        <v>41176</v>
      </c>
      <c r="I1177" s="27" t="s">
        <v>984</v>
      </c>
      <c r="J1177" s="4" t="s">
        <v>1962</v>
      </c>
      <c r="K1177" s="4" t="s">
        <v>988</v>
      </c>
      <c r="L1177" s="29" t="s">
        <v>977</v>
      </c>
      <c r="M1177" s="78">
        <f t="shared" si="229"/>
        <v>19332.810000000001</v>
      </c>
      <c r="N1177" s="78">
        <f t="shared" si="231"/>
        <v>19332.810000000001</v>
      </c>
      <c r="O1177" s="78">
        <v>19332.810000000001</v>
      </c>
      <c r="P1177" s="72">
        <v>23270</v>
      </c>
      <c r="Q1177" s="256">
        <f t="shared" si="232"/>
        <v>5119.3999999999996</v>
      </c>
      <c r="R1177" s="256">
        <f t="shared" si="233"/>
        <v>28389.4</v>
      </c>
      <c r="S1177" s="296"/>
      <c r="T1177" s="3">
        <v>49</v>
      </c>
      <c r="U1177" s="293"/>
    </row>
    <row r="1178" spans="1:21" ht="15" customHeight="1" x14ac:dyDescent="0.35">
      <c r="A1178" s="218" t="s">
        <v>3498</v>
      </c>
      <c r="B1178" s="3">
        <v>1126</v>
      </c>
      <c r="C1178" s="44">
        <v>10135921</v>
      </c>
      <c r="D1178" s="18" t="s">
        <v>1790</v>
      </c>
      <c r="E1178" s="18" t="s">
        <v>2228</v>
      </c>
      <c r="F1178" s="12">
        <v>1</v>
      </c>
      <c r="G1178" s="3" t="s">
        <v>0</v>
      </c>
      <c r="H1178" s="39">
        <v>41176</v>
      </c>
      <c r="I1178" s="27" t="s">
        <v>984</v>
      </c>
      <c r="J1178" s="4" t="s">
        <v>1962</v>
      </c>
      <c r="K1178" s="4" t="s">
        <v>988</v>
      </c>
      <c r="L1178" s="29" t="s">
        <v>977</v>
      </c>
      <c r="M1178" s="78">
        <f t="shared" si="229"/>
        <v>81250.509999999995</v>
      </c>
      <c r="N1178" s="78">
        <f t="shared" si="231"/>
        <v>81250.509999999995</v>
      </c>
      <c r="O1178" s="78">
        <v>81250.509999999995</v>
      </c>
      <c r="P1178" s="72">
        <v>97780</v>
      </c>
      <c r="Q1178" s="256">
        <f t="shared" si="232"/>
        <v>21511.599999999999</v>
      </c>
      <c r="R1178" s="256">
        <f t="shared" si="233"/>
        <v>119291.6</v>
      </c>
      <c r="S1178" s="296"/>
      <c r="T1178" s="3">
        <v>49</v>
      </c>
      <c r="U1178" s="293"/>
    </row>
    <row r="1179" spans="1:21" ht="15" customHeight="1" x14ac:dyDescent="0.35">
      <c r="A1179" s="218" t="s">
        <v>3499</v>
      </c>
      <c r="B1179" s="3">
        <v>1127</v>
      </c>
      <c r="C1179" s="44">
        <v>10135934</v>
      </c>
      <c r="D1179" s="18" t="s">
        <v>1791</v>
      </c>
      <c r="E1179" s="18" t="s">
        <v>2228</v>
      </c>
      <c r="F1179" s="12">
        <v>1</v>
      </c>
      <c r="G1179" s="3" t="s">
        <v>0</v>
      </c>
      <c r="H1179" s="39">
        <v>41176</v>
      </c>
      <c r="I1179" s="27" t="s">
        <v>984</v>
      </c>
      <c r="J1179" s="4" t="s">
        <v>1962</v>
      </c>
      <c r="K1179" s="4" t="s">
        <v>988</v>
      </c>
      <c r="L1179" s="29" t="s">
        <v>977</v>
      </c>
      <c r="M1179" s="78">
        <f t="shared" si="229"/>
        <v>72102.31</v>
      </c>
      <c r="N1179" s="78">
        <f t="shared" si="231"/>
        <v>72102.31</v>
      </c>
      <c r="O1179" s="78">
        <v>72102.31</v>
      </c>
      <c r="P1179" s="72">
        <v>86770</v>
      </c>
      <c r="Q1179" s="256">
        <f t="shared" si="232"/>
        <v>19089.400000000001</v>
      </c>
      <c r="R1179" s="256">
        <f t="shared" si="233"/>
        <v>105859.4</v>
      </c>
      <c r="S1179" s="296"/>
      <c r="T1179" s="3">
        <v>49</v>
      </c>
      <c r="U1179" s="293"/>
    </row>
    <row r="1180" spans="1:21" ht="15" customHeight="1" x14ac:dyDescent="0.35">
      <c r="A1180" s="218" t="s">
        <v>3500</v>
      </c>
      <c r="B1180" s="3">
        <v>1128</v>
      </c>
      <c r="C1180" s="44">
        <v>10135941</v>
      </c>
      <c r="D1180" s="18" t="s">
        <v>1792</v>
      </c>
      <c r="E1180" s="18" t="s">
        <v>2228</v>
      </c>
      <c r="F1180" s="12">
        <v>1</v>
      </c>
      <c r="G1180" s="3" t="s">
        <v>0</v>
      </c>
      <c r="H1180" s="39">
        <v>41176</v>
      </c>
      <c r="I1180" s="27" t="s">
        <v>984</v>
      </c>
      <c r="J1180" s="4" t="s">
        <v>1962</v>
      </c>
      <c r="K1180" s="4" t="s">
        <v>988</v>
      </c>
      <c r="L1180" s="29" t="s">
        <v>977</v>
      </c>
      <c r="M1180" s="78">
        <f t="shared" si="229"/>
        <v>64865.43</v>
      </c>
      <c r="N1180" s="78">
        <f t="shared" si="231"/>
        <v>64865.43</v>
      </c>
      <c r="O1180" s="78">
        <v>64865.43</v>
      </c>
      <c r="P1180" s="72">
        <v>78060</v>
      </c>
      <c r="Q1180" s="256">
        <f t="shared" si="232"/>
        <v>17173.2</v>
      </c>
      <c r="R1180" s="256">
        <f t="shared" si="233"/>
        <v>95233.2</v>
      </c>
      <c r="S1180" s="296"/>
      <c r="T1180" s="3">
        <v>49</v>
      </c>
      <c r="U1180" s="293"/>
    </row>
    <row r="1181" spans="1:21" ht="15" customHeight="1" x14ac:dyDescent="0.35">
      <c r="A1181" s="218" t="s">
        <v>3501</v>
      </c>
      <c r="B1181" s="3">
        <v>1129</v>
      </c>
      <c r="C1181" s="44">
        <v>10051098</v>
      </c>
      <c r="D1181" s="18" t="s">
        <v>1829</v>
      </c>
      <c r="E1181" s="18" t="s">
        <v>2228</v>
      </c>
      <c r="F1181" s="12">
        <v>1.7000000000000001E-2</v>
      </c>
      <c r="G1181" s="3" t="s">
        <v>3</v>
      </c>
      <c r="H1181" s="39">
        <v>42229</v>
      </c>
      <c r="I1181" s="27" t="s">
        <v>984</v>
      </c>
      <c r="J1181" s="4" t="s">
        <v>1977</v>
      </c>
      <c r="K1181" s="4" t="s">
        <v>988</v>
      </c>
      <c r="L1181" s="29" t="s">
        <v>977</v>
      </c>
      <c r="M1181" s="78">
        <f t="shared" si="229"/>
        <v>10266.65</v>
      </c>
      <c r="N1181" s="78">
        <f t="shared" si="231"/>
        <v>603920.59</v>
      </c>
      <c r="O1181" s="78">
        <v>10266.65</v>
      </c>
      <c r="P1181" s="72">
        <v>11800</v>
      </c>
      <c r="Q1181" s="256">
        <f t="shared" si="232"/>
        <v>2596</v>
      </c>
      <c r="R1181" s="256">
        <f t="shared" si="233"/>
        <v>14396</v>
      </c>
      <c r="S1181" s="296"/>
      <c r="T1181" s="3">
        <v>49</v>
      </c>
      <c r="U1181" s="293"/>
    </row>
    <row r="1182" spans="1:21" ht="15.75" customHeight="1" x14ac:dyDescent="0.35">
      <c r="A1182" s="218" t="s">
        <v>3502</v>
      </c>
      <c r="B1182" s="3">
        <v>1130</v>
      </c>
      <c r="C1182" s="44">
        <v>10097738</v>
      </c>
      <c r="D1182" s="18" t="s">
        <v>1844</v>
      </c>
      <c r="E1182" s="18" t="s">
        <v>2228</v>
      </c>
      <c r="F1182" s="12">
        <v>9</v>
      </c>
      <c r="G1182" s="3" t="s">
        <v>17</v>
      </c>
      <c r="H1182" s="39">
        <v>40394</v>
      </c>
      <c r="I1182" s="27" t="s">
        <v>984</v>
      </c>
      <c r="J1182" s="4" t="s">
        <v>1962</v>
      </c>
      <c r="K1182" s="4" t="s">
        <v>988</v>
      </c>
      <c r="L1182" s="29" t="s">
        <v>977</v>
      </c>
      <c r="M1182" s="78">
        <f t="shared" si="229"/>
        <v>2479.1799999999998</v>
      </c>
      <c r="N1182" s="78">
        <f t="shared" si="231"/>
        <v>275.45999999999998</v>
      </c>
      <c r="O1182" s="78">
        <v>2479.1799999999998</v>
      </c>
      <c r="P1182" s="72">
        <v>3310</v>
      </c>
      <c r="Q1182" s="256">
        <f t="shared" si="232"/>
        <v>728.2</v>
      </c>
      <c r="R1182" s="256">
        <f t="shared" si="233"/>
        <v>4038.2</v>
      </c>
      <c r="S1182" s="296"/>
      <c r="T1182" s="3">
        <v>49</v>
      </c>
      <c r="U1182" s="293"/>
    </row>
    <row r="1183" spans="1:21" ht="19.5" customHeight="1" x14ac:dyDescent="0.35">
      <c r="A1183" s="218" t="s">
        <v>3503</v>
      </c>
      <c r="B1183" s="3">
        <v>1131</v>
      </c>
      <c r="C1183" s="44">
        <v>10132082</v>
      </c>
      <c r="D1183" s="18" t="s">
        <v>1856</v>
      </c>
      <c r="E1183" s="18" t="s">
        <v>2228</v>
      </c>
      <c r="F1183" s="12">
        <f>20-12</f>
        <v>8</v>
      </c>
      <c r="G1183" s="3" t="s">
        <v>0</v>
      </c>
      <c r="H1183" s="39">
        <v>41985</v>
      </c>
      <c r="I1183" s="27" t="s">
        <v>984</v>
      </c>
      <c r="J1183" s="4" t="s">
        <v>1962</v>
      </c>
      <c r="K1183" s="4" t="s">
        <v>988</v>
      </c>
      <c r="L1183" s="29" t="s">
        <v>977</v>
      </c>
      <c r="M1183" s="78">
        <f t="shared" si="229"/>
        <v>2136.08</v>
      </c>
      <c r="N1183" s="78">
        <f t="shared" si="231"/>
        <v>267.01</v>
      </c>
      <c r="O1183" s="78">
        <f>5340.2/20*8</f>
        <v>2136.08</v>
      </c>
      <c r="P1183" s="72">
        <v>2690</v>
      </c>
      <c r="Q1183" s="256">
        <f t="shared" si="232"/>
        <v>591.79999999999995</v>
      </c>
      <c r="R1183" s="256">
        <f t="shared" si="233"/>
        <v>3281.8</v>
      </c>
      <c r="S1183" s="296"/>
      <c r="T1183" s="3">
        <v>49</v>
      </c>
      <c r="U1183" s="293"/>
    </row>
    <row r="1184" spans="1:21" ht="15" customHeight="1" x14ac:dyDescent="0.35">
      <c r="A1184" s="218" t="s">
        <v>3504</v>
      </c>
      <c r="B1184" s="3">
        <v>1132</v>
      </c>
      <c r="C1184" s="44">
        <v>10122584</v>
      </c>
      <c r="D1184" s="18" t="s">
        <v>1860</v>
      </c>
      <c r="E1184" s="18" t="s">
        <v>2228</v>
      </c>
      <c r="F1184" s="12">
        <v>81.650000000000006</v>
      </c>
      <c r="G1184" s="3" t="s">
        <v>17</v>
      </c>
      <c r="H1184" s="39">
        <v>40863</v>
      </c>
      <c r="I1184" s="27" t="s">
        <v>984</v>
      </c>
      <c r="J1184" s="4" t="s">
        <v>1962</v>
      </c>
      <c r="K1184" s="4" t="s">
        <v>988</v>
      </c>
      <c r="L1184" s="29" t="s">
        <v>977</v>
      </c>
      <c r="M1184" s="78">
        <f t="shared" si="229"/>
        <v>10900.28</v>
      </c>
      <c r="N1184" s="78">
        <f t="shared" si="231"/>
        <v>133.5</v>
      </c>
      <c r="O1184" s="78">
        <v>10900.28</v>
      </c>
      <c r="P1184" s="72">
        <v>13170</v>
      </c>
      <c r="Q1184" s="256">
        <f t="shared" si="232"/>
        <v>2897.4</v>
      </c>
      <c r="R1184" s="256">
        <f t="shared" si="233"/>
        <v>16067.4</v>
      </c>
      <c r="S1184" s="296"/>
      <c r="T1184" s="3">
        <v>49</v>
      </c>
      <c r="U1184" s="293"/>
    </row>
    <row r="1185" spans="1:21" ht="15" customHeight="1" x14ac:dyDescent="0.35">
      <c r="A1185" s="218" t="s">
        <v>3505</v>
      </c>
      <c r="B1185" s="3">
        <v>1133</v>
      </c>
      <c r="C1185" s="44">
        <v>10099981</v>
      </c>
      <c r="D1185" s="18" t="s">
        <v>1861</v>
      </c>
      <c r="E1185" s="18" t="s">
        <v>2228</v>
      </c>
      <c r="F1185" s="12">
        <v>70</v>
      </c>
      <c r="G1185" s="3" t="s">
        <v>8</v>
      </c>
      <c r="H1185" s="39">
        <v>40639</v>
      </c>
      <c r="I1185" s="27" t="s">
        <v>984</v>
      </c>
      <c r="J1185" s="4" t="s">
        <v>1962</v>
      </c>
      <c r="K1185" s="4" t="s">
        <v>988</v>
      </c>
      <c r="L1185" s="29" t="s">
        <v>977</v>
      </c>
      <c r="M1185" s="78">
        <f t="shared" si="229"/>
        <v>2450.6999999999998</v>
      </c>
      <c r="N1185" s="78">
        <f t="shared" si="231"/>
        <v>35.01</v>
      </c>
      <c r="O1185" s="78">
        <v>2450.6999999999998</v>
      </c>
      <c r="P1185" s="72">
        <v>3410</v>
      </c>
      <c r="Q1185" s="256">
        <f t="shared" si="232"/>
        <v>750.2</v>
      </c>
      <c r="R1185" s="256">
        <f t="shared" si="233"/>
        <v>4160.2</v>
      </c>
      <c r="S1185" s="296"/>
      <c r="T1185" s="3">
        <v>49</v>
      </c>
      <c r="U1185" s="293"/>
    </row>
    <row r="1186" spans="1:21" ht="15" customHeight="1" x14ac:dyDescent="0.35">
      <c r="A1186" s="218" t="s">
        <v>3506</v>
      </c>
      <c r="B1186" s="3">
        <v>1134</v>
      </c>
      <c r="C1186" s="44">
        <v>10059302</v>
      </c>
      <c r="D1186" s="18" t="s">
        <v>1862</v>
      </c>
      <c r="E1186" s="18" t="s">
        <v>2219</v>
      </c>
      <c r="F1186" s="12">
        <v>780</v>
      </c>
      <c r="G1186" s="3" t="s">
        <v>0</v>
      </c>
      <c r="H1186" s="39">
        <v>41985</v>
      </c>
      <c r="I1186" s="27" t="s">
        <v>984</v>
      </c>
      <c r="J1186" s="4" t="s">
        <v>1962</v>
      </c>
      <c r="K1186" s="4" t="s">
        <v>988</v>
      </c>
      <c r="L1186" s="29" t="s">
        <v>977</v>
      </c>
      <c r="M1186" s="78">
        <f t="shared" si="229"/>
        <v>2511.6</v>
      </c>
      <c r="N1186" s="78">
        <f t="shared" si="231"/>
        <v>3.22</v>
      </c>
      <c r="O1186" s="78">
        <v>2511.6</v>
      </c>
      <c r="P1186" s="72">
        <v>3160</v>
      </c>
      <c r="Q1186" s="256">
        <f t="shared" si="232"/>
        <v>695.2</v>
      </c>
      <c r="R1186" s="256">
        <f t="shared" si="233"/>
        <v>3855.2</v>
      </c>
      <c r="S1186" s="296"/>
      <c r="T1186" s="3">
        <v>49</v>
      </c>
      <c r="U1186" s="293"/>
    </row>
    <row r="1187" spans="1:21" ht="15" customHeight="1" x14ac:dyDescent="0.35">
      <c r="A1187" s="218" t="s">
        <v>3507</v>
      </c>
      <c r="B1187" s="3">
        <v>1135</v>
      </c>
      <c r="C1187" s="44">
        <v>10059307</v>
      </c>
      <c r="D1187" s="18" t="s">
        <v>1863</v>
      </c>
      <c r="E1187" s="18" t="s">
        <v>2219</v>
      </c>
      <c r="F1187" s="12">
        <v>180</v>
      </c>
      <c r="G1187" s="3" t="s">
        <v>0</v>
      </c>
      <c r="H1187" s="39">
        <v>41985</v>
      </c>
      <c r="I1187" s="27" t="s">
        <v>984</v>
      </c>
      <c r="J1187" s="4" t="s">
        <v>1962</v>
      </c>
      <c r="K1187" s="4" t="s">
        <v>988</v>
      </c>
      <c r="L1187" s="29" t="s">
        <v>977</v>
      </c>
      <c r="M1187" s="78">
        <f t="shared" si="229"/>
        <v>185.4</v>
      </c>
      <c r="N1187" s="78">
        <f t="shared" si="231"/>
        <v>1.03</v>
      </c>
      <c r="O1187" s="78">
        <v>185.4</v>
      </c>
      <c r="P1187" s="72">
        <v>230</v>
      </c>
      <c r="Q1187" s="256">
        <f t="shared" si="232"/>
        <v>50.6</v>
      </c>
      <c r="R1187" s="256">
        <f t="shared" si="233"/>
        <v>280.60000000000002</v>
      </c>
      <c r="S1187" s="296"/>
      <c r="T1187" s="3">
        <v>49</v>
      </c>
      <c r="U1187" s="293"/>
    </row>
    <row r="1188" spans="1:21" ht="15" customHeight="1" x14ac:dyDescent="0.35">
      <c r="A1188" s="218" t="s">
        <v>3508</v>
      </c>
      <c r="B1188" s="3">
        <v>1136</v>
      </c>
      <c r="C1188" s="44">
        <v>10106864</v>
      </c>
      <c r="D1188" s="18" t="s">
        <v>1864</v>
      </c>
      <c r="E1188" s="19" t="s">
        <v>2219</v>
      </c>
      <c r="F1188" s="12">
        <f>188-20</f>
        <v>168</v>
      </c>
      <c r="G1188" s="3" t="s">
        <v>8</v>
      </c>
      <c r="H1188" s="39">
        <v>41375</v>
      </c>
      <c r="I1188" s="27" t="s">
        <v>984</v>
      </c>
      <c r="J1188" s="4" t="s">
        <v>1962</v>
      </c>
      <c r="K1188" s="4" t="s">
        <v>988</v>
      </c>
      <c r="L1188" s="29" t="s">
        <v>977</v>
      </c>
      <c r="M1188" s="78">
        <f t="shared" si="229"/>
        <v>8617.11</v>
      </c>
      <c r="N1188" s="78">
        <f t="shared" si="231"/>
        <v>51.29</v>
      </c>
      <c r="O1188" s="78">
        <f>9642.96/188*168</f>
        <v>8617.11</v>
      </c>
      <c r="P1188" s="72">
        <v>11500</v>
      </c>
      <c r="Q1188" s="256">
        <f t="shared" si="232"/>
        <v>2530</v>
      </c>
      <c r="R1188" s="256">
        <f t="shared" si="233"/>
        <v>14030</v>
      </c>
      <c r="S1188" s="296"/>
      <c r="T1188" s="3">
        <v>49</v>
      </c>
      <c r="U1188" s="293"/>
    </row>
    <row r="1189" spans="1:21" ht="15" customHeight="1" x14ac:dyDescent="0.35">
      <c r="A1189" s="218" t="s">
        <v>3509</v>
      </c>
      <c r="B1189" s="3">
        <v>1137</v>
      </c>
      <c r="C1189" s="65">
        <v>10145094</v>
      </c>
      <c r="D1189" s="8" t="s">
        <v>1448</v>
      </c>
      <c r="E1189" s="19" t="s">
        <v>2219</v>
      </c>
      <c r="F1189" s="92">
        <v>39000</v>
      </c>
      <c r="G1189" s="3" t="s">
        <v>0</v>
      </c>
      <c r="H1189" s="40">
        <v>41365</v>
      </c>
      <c r="I1189" s="27" t="s">
        <v>984</v>
      </c>
      <c r="J1189" s="4" t="s">
        <v>1962</v>
      </c>
      <c r="K1189" s="4" t="s">
        <v>988</v>
      </c>
      <c r="L1189" s="29" t="s">
        <v>977</v>
      </c>
      <c r="M1189" s="78">
        <f t="shared" si="229"/>
        <v>9360</v>
      </c>
      <c r="N1189" s="78">
        <f t="shared" si="231"/>
        <v>0.24</v>
      </c>
      <c r="O1189" s="78">
        <v>9360</v>
      </c>
      <c r="P1189" s="72">
        <v>12490</v>
      </c>
      <c r="Q1189" s="256">
        <f t="shared" si="232"/>
        <v>2747.8</v>
      </c>
      <c r="R1189" s="256">
        <f t="shared" si="233"/>
        <v>15237.8</v>
      </c>
      <c r="S1189" s="296"/>
      <c r="T1189" s="3">
        <v>49</v>
      </c>
      <c r="U1189" s="293"/>
    </row>
    <row r="1190" spans="1:21" ht="15" customHeight="1" x14ac:dyDescent="0.35">
      <c r="A1190" s="218" t="s">
        <v>3510</v>
      </c>
      <c r="B1190" s="3">
        <v>1138</v>
      </c>
      <c r="C1190" s="44">
        <v>10002286</v>
      </c>
      <c r="D1190" s="18" t="s">
        <v>1827</v>
      </c>
      <c r="E1190" s="18" t="s">
        <v>2228</v>
      </c>
      <c r="F1190" s="12">
        <v>89.9</v>
      </c>
      <c r="G1190" s="3" t="s">
        <v>8</v>
      </c>
      <c r="H1190" s="39">
        <v>42520</v>
      </c>
      <c r="I1190" s="27" t="s">
        <v>984</v>
      </c>
      <c r="J1190" s="4" t="s">
        <v>1962</v>
      </c>
      <c r="K1190" s="4" t="s">
        <v>988</v>
      </c>
      <c r="L1190" s="29" t="s">
        <v>977</v>
      </c>
      <c r="M1190" s="78">
        <f t="shared" si="229"/>
        <v>114503.58</v>
      </c>
      <c r="N1190" s="78">
        <f t="shared" si="231"/>
        <v>1273.68</v>
      </c>
      <c r="O1190" s="78">
        <v>114503.58</v>
      </c>
      <c r="P1190" s="72">
        <v>131340</v>
      </c>
      <c r="Q1190" s="256">
        <f t="shared" si="232"/>
        <v>28894.799999999999</v>
      </c>
      <c r="R1190" s="256">
        <f t="shared" si="233"/>
        <v>160234.79999999999</v>
      </c>
      <c r="S1190" s="296"/>
      <c r="T1190" s="3">
        <v>49</v>
      </c>
      <c r="U1190" s="293"/>
    </row>
    <row r="1191" spans="1:21" ht="15" customHeight="1" x14ac:dyDescent="0.35">
      <c r="A1191" s="218" t="s">
        <v>3511</v>
      </c>
      <c r="B1191" s="3">
        <v>1139</v>
      </c>
      <c r="C1191" s="44">
        <v>10132558</v>
      </c>
      <c r="D1191" s="18" t="s">
        <v>1828</v>
      </c>
      <c r="E1191" s="18" t="s">
        <v>2228</v>
      </c>
      <c r="F1191" s="12">
        <v>27.6</v>
      </c>
      <c r="G1191" s="3" t="s">
        <v>8</v>
      </c>
      <c r="H1191" s="39">
        <v>42331</v>
      </c>
      <c r="I1191" s="27" t="s">
        <v>984</v>
      </c>
      <c r="J1191" s="4" t="s">
        <v>1962</v>
      </c>
      <c r="K1191" s="4" t="s">
        <v>988</v>
      </c>
      <c r="L1191" s="29" t="s">
        <v>977</v>
      </c>
      <c r="M1191" s="78">
        <f t="shared" si="229"/>
        <v>110582.73</v>
      </c>
      <c r="N1191" s="78">
        <f t="shared" si="231"/>
        <v>4006.62</v>
      </c>
      <c r="O1191" s="78">
        <v>110582.73</v>
      </c>
      <c r="P1191" s="72">
        <v>126070</v>
      </c>
      <c r="Q1191" s="256">
        <f t="shared" si="232"/>
        <v>27735.4</v>
      </c>
      <c r="R1191" s="256">
        <f t="shared" si="233"/>
        <v>153805.4</v>
      </c>
      <c r="S1191" s="297"/>
      <c r="T1191" s="3">
        <v>49</v>
      </c>
      <c r="U1191" s="293"/>
    </row>
    <row r="1192" spans="1:21" ht="15" customHeight="1" x14ac:dyDescent="0.35">
      <c r="A1192" s="218"/>
      <c r="B1192" s="94"/>
      <c r="C1192" s="44"/>
      <c r="D1192" s="18"/>
      <c r="E1192" s="18"/>
      <c r="F1192" s="12"/>
      <c r="G1192" s="3"/>
      <c r="H1192" s="39"/>
      <c r="I1192" s="27"/>
      <c r="J1192" s="4"/>
      <c r="K1192" s="4"/>
      <c r="L1192" s="29"/>
      <c r="M1192" s="78"/>
      <c r="N1192" s="78"/>
      <c r="O1192" s="108">
        <f>SUM(O1172:O1191)</f>
        <v>573169.11</v>
      </c>
      <c r="P1192" s="276">
        <f t="shared" ref="P1192:Q1192" si="234">SUM(P1172:P1191)</f>
        <v>675920</v>
      </c>
      <c r="Q1192" s="282">
        <f t="shared" si="234"/>
        <v>148702.39999999999</v>
      </c>
      <c r="R1192" s="282">
        <f>SUM(R1172:R1191)</f>
        <v>824622.4</v>
      </c>
      <c r="S1192" s="286">
        <f>R1192/100*10</f>
        <v>82462.240000000005</v>
      </c>
      <c r="T1192" s="104">
        <v>49</v>
      </c>
      <c r="U1192" s="304"/>
    </row>
    <row r="1193" spans="1:21" ht="15" customHeight="1" x14ac:dyDescent="0.35">
      <c r="A1193" s="218" t="s">
        <v>3512</v>
      </c>
      <c r="B1193" s="3">
        <v>1140</v>
      </c>
      <c r="C1193" s="44">
        <v>10090724</v>
      </c>
      <c r="D1193" s="18" t="s">
        <v>1298</v>
      </c>
      <c r="E1193" s="18" t="s">
        <v>2216</v>
      </c>
      <c r="F1193" s="12">
        <v>2</v>
      </c>
      <c r="G1193" s="3" t="s">
        <v>0</v>
      </c>
      <c r="H1193" s="3">
        <v>2014</v>
      </c>
      <c r="I1193" s="5" t="s">
        <v>2209</v>
      </c>
      <c r="J1193" s="4" t="s">
        <v>1962</v>
      </c>
      <c r="K1193" s="49" t="s">
        <v>988</v>
      </c>
      <c r="L1193" s="6" t="s">
        <v>871</v>
      </c>
      <c r="M1193" s="81">
        <f t="shared" si="229"/>
        <v>7721.92</v>
      </c>
      <c r="N1193" s="81">
        <f t="shared" ref="N1193:N1213" si="235">O1193/F1193</f>
        <v>3860.96</v>
      </c>
      <c r="O1193" s="81">
        <v>7721.92</v>
      </c>
      <c r="P1193" s="72">
        <v>5640</v>
      </c>
      <c r="Q1193" s="256">
        <f t="shared" ref="Q1193:Q1213" si="236">R1193-P1193</f>
        <v>1240.8</v>
      </c>
      <c r="R1193" s="256">
        <f t="shared" ref="R1193:R1213" si="237">P1193*1.22</f>
        <v>6880.8</v>
      </c>
      <c r="S1193" s="289"/>
      <c r="T1193" s="3">
        <v>50</v>
      </c>
      <c r="U1193" s="292" t="s">
        <v>2329</v>
      </c>
    </row>
    <row r="1194" spans="1:21" ht="15" customHeight="1" x14ac:dyDescent="0.35">
      <c r="A1194" s="218" t="s">
        <v>3513</v>
      </c>
      <c r="B1194" s="3">
        <v>1141</v>
      </c>
      <c r="C1194" s="44">
        <v>10106294</v>
      </c>
      <c r="D1194" s="18" t="s">
        <v>107</v>
      </c>
      <c r="E1194" s="18" t="s">
        <v>2027</v>
      </c>
      <c r="F1194" s="12">
        <v>55</v>
      </c>
      <c r="G1194" s="3" t="s">
        <v>0</v>
      </c>
      <c r="H1194" s="49">
        <v>2014</v>
      </c>
      <c r="I1194" s="27" t="s">
        <v>984</v>
      </c>
      <c r="J1194" s="5" t="s">
        <v>1962</v>
      </c>
      <c r="K1194" s="49" t="s">
        <v>2091</v>
      </c>
      <c r="L1194" s="5" t="s">
        <v>2147</v>
      </c>
      <c r="M1194" s="72">
        <f t="shared" si="229"/>
        <v>1799.76</v>
      </c>
      <c r="N1194" s="72">
        <f t="shared" si="235"/>
        <v>32.72</v>
      </c>
      <c r="O1194" s="72">
        <v>1799.76</v>
      </c>
      <c r="P1194" s="72">
        <v>1970</v>
      </c>
      <c r="Q1194" s="256">
        <f t="shared" si="236"/>
        <v>433.4</v>
      </c>
      <c r="R1194" s="256">
        <f t="shared" si="237"/>
        <v>2403.4</v>
      </c>
      <c r="S1194" s="296"/>
      <c r="T1194" s="3">
        <v>50</v>
      </c>
      <c r="U1194" s="294"/>
    </row>
    <row r="1195" spans="1:21" ht="24.75" customHeight="1" x14ac:dyDescent="0.35">
      <c r="A1195" s="218" t="s">
        <v>3514</v>
      </c>
      <c r="B1195" s="3">
        <v>1142</v>
      </c>
      <c r="C1195" s="44">
        <v>10128643</v>
      </c>
      <c r="D1195" s="18" t="s">
        <v>59</v>
      </c>
      <c r="E1195" s="18" t="s">
        <v>2228</v>
      </c>
      <c r="F1195" s="12">
        <v>3</v>
      </c>
      <c r="G1195" s="3" t="s">
        <v>8</v>
      </c>
      <c r="H1195" s="5">
        <v>41963</v>
      </c>
      <c r="I1195" s="27" t="s">
        <v>984</v>
      </c>
      <c r="J1195" s="5" t="s">
        <v>1962</v>
      </c>
      <c r="K1195" s="5" t="s">
        <v>2050</v>
      </c>
      <c r="L1195" s="5" t="s">
        <v>2147</v>
      </c>
      <c r="M1195" s="72">
        <f t="shared" si="229"/>
        <v>268.35000000000002</v>
      </c>
      <c r="N1195" s="72">
        <f t="shared" si="235"/>
        <v>89.45</v>
      </c>
      <c r="O1195" s="72">
        <v>268.35000000000002</v>
      </c>
      <c r="P1195" s="72">
        <v>290</v>
      </c>
      <c r="Q1195" s="256">
        <f t="shared" si="236"/>
        <v>63.8</v>
      </c>
      <c r="R1195" s="256">
        <f t="shared" si="237"/>
        <v>353.8</v>
      </c>
      <c r="S1195" s="296"/>
      <c r="T1195" s="3">
        <v>50</v>
      </c>
      <c r="U1195" s="294"/>
    </row>
    <row r="1196" spans="1:21" ht="15" customHeight="1" x14ac:dyDescent="0.35">
      <c r="A1196" s="218" t="s">
        <v>3515</v>
      </c>
      <c r="B1196" s="3">
        <v>1143</v>
      </c>
      <c r="C1196" s="44">
        <v>10006180</v>
      </c>
      <c r="D1196" s="18" t="s">
        <v>69</v>
      </c>
      <c r="E1196" s="19" t="s">
        <v>2219</v>
      </c>
      <c r="F1196" s="12">
        <f>5-1</f>
        <v>4</v>
      </c>
      <c r="G1196" s="3" t="s">
        <v>8</v>
      </c>
      <c r="H1196" s="5">
        <v>41963</v>
      </c>
      <c r="I1196" s="27" t="s">
        <v>984</v>
      </c>
      <c r="J1196" s="5" t="s">
        <v>1962</v>
      </c>
      <c r="K1196" s="5" t="s">
        <v>2051</v>
      </c>
      <c r="L1196" s="5" t="s">
        <v>2147</v>
      </c>
      <c r="M1196" s="72">
        <f t="shared" si="229"/>
        <v>244.29</v>
      </c>
      <c r="N1196" s="72">
        <f t="shared" si="235"/>
        <v>61.07</v>
      </c>
      <c r="O1196" s="72">
        <f>305.36/5*4</f>
        <v>244.29</v>
      </c>
      <c r="P1196" s="72">
        <v>270</v>
      </c>
      <c r="Q1196" s="256">
        <f t="shared" si="236"/>
        <v>59.4</v>
      </c>
      <c r="R1196" s="256">
        <f t="shared" si="237"/>
        <v>329.4</v>
      </c>
      <c r="S1196" s="296"/>
      <c r="T1196" s="3">
        <v>50</v>
      </c>
      <c r="U1196" s="294"/>
    </row>
    <row r="1197" spans="1:21" ht="15" customHeight="1" x14ac:dyDescent="0.35">
      <c r="A1197" s="218" t="s">
        <v>3516</v>
      </c>
      <c r="B1197" s="3">
        <v>1144</v>
      </c>
      <c r="C1197" s="44">
        <v>10128604</v>
      </c>
      <c r="D1197" s="18" t="s">
        <v>74</v>
      </c>
      <c r="E1197" s="18" t="s">
        <v>2228</v>
      </c>
      <c r="F1197" s="12">
        <v>5</v>
      </c>
      <c r="G1197" s="3" t="s">
        <v>8</v>
      </c>
      <c r="H1197" s="5">
        <v>41963</v>
      </c>
      <c r="I1197" s="27" t="s">
        <v>984</v>
      </c>
      <c r="J1197" s="5" t="s">
        <v>1962</v>
      </c>
      <c r="K1197" s="5" t="s">
        <v>2052</v>
      </c>
      <c r="L1197" s="5" t="s">
        <v>2147</v>
      </c>
      <c r="M1197" s="72">
        <f t="shared" si="229"/>
        <v>330.8</v>
      </c>
      <c r="N1197" s="72">
        <f t="shared" si="235"/>
        <v>66.16</v>
      </c>
      <c r="O1197" s="72">
        <v>330.8</v>
      </c>
      <c r="P1197" s="72">
        <v>360</v>
      </c>
      <c r="Q1197" s="256">
        <f t="shared" si="236"/>
        <v>79.2</v>
      </c>
      <c r="R1197" s="256">
        <f t="shared" si="237"/>
        <v>439.2</v>
      </c>
      <c r="S1197" s="296"/>
      <c r="T1197" s="3">
        <v>50</v>
      </c>
      <c r="U1197" s="294"/>
    </row>
    <row r="1198" spans="1:21" ht="15" customHeight="1" x14ac:dyDescent="0.35">
      <c r="A1198" s="218" t="s">
        <v>3517</v>
      </c>
      <c r="B1198" s="3">
        <v>1145</v>
      </c>
      <c r="C1198" s="44">
        <v>10011665</v>
      </c>
      <c r="D1198" s="18" t="s">
        <v>64</v>
      </c>
      <c r="E1198" s="18" t="s">
        <v>2228</v>
      </c>
      <c r="F1198" s="12">
        <v>4</v>
      </c>
      <c r="G1198" s="3" t="s">
        <v>8</v>
      </c>
      <c r="H1198" s="49">
        <v>2014</v>
      </c>
      <c r="I1198" s="27" t="s">
        <v>984</v>
      </c>
      <c r="J1198" s="5" t="s">
        <v>1962</v>
      </c>
      <c r="K1198" s="49" t="s">
        <v>2118</v>
      </c>
      <c r="L1198" s="5" t="s">
        <v>2147</v>
      </c>
      <c r="M1198" s="72">
        <f t="shared" si="229"/>
        <v>244.44</v>
      </c>
      <c r="N1198" s="72">
        <f t="shared" si="235"/>
        <v>61.11</v>
      </c>
      <c r="O1198" s="72">
        <v>244.44</v>
      </c>
      <c r="P1198" s="72">
        <v>270</v>
      </c>
      <c r="Q1198" s="256">
        <f t="shared" si="236"/>
        <v>59.4</v>
      </c>
      <c r="R1198" s="256">
        <f t="shared" si="237"/>
        <v>329.4</v>
      </c>
      <c r="S1198" s="296"/>
      <c r="T1198" s="3">
        <v>50</v>
      </c>
      <c r="U1198" s="294"/>
    </row>
    <row r="1199" spans="1:21" ht="15" customHeight="1" x14ac:dyDescent="0.35">
      <c r="A1199" s="218" t="s">
        <v>3518</v>
      </c>
      <c r="B1199" s="3">
        <v>1146</v>
      </c>
      <c r="C1199" s="44">
        <v>10126742</v>
      </c>
      <c r="D1199" s="18" t="s">
        <v>66</v>
      </c>
      <c r="E1199" s="18" t="s">
        <v>2228</v>
      </c>
      <c r="F1199" s="12">
        <v>4</v>
      </c>
      <c r="G1199" s="3" t="s">
        <v>8</v>
      </c>
      <c r="H1199" s="49">
        <v>2014</v>
      </c>
      <c r="I1199" s="27" t="s">
        <v>984</v>
      </c>
      <c r="J1199" s="5" t="s">
        <v>1962</v>
      </c>
      <c r="K1199" s="49" t="s">
        <v>2119</v>
      </c>
      <c r="L1199" s="5" t="s">
        <v>2147</v>
      </c>
      <c r="M1199" s="72">
        <f t="shared" si="229"/>
        <v>292.24</v>
      </c>
      <c r="N1199" s="72">
        <f t="shared" si="235"/>
        <v>73.06</v>
      </c>
      <c r="O1199" s="72">
        <v>292.24</v>
      </c>
      <c r="P1199" s="72">
        <v>320</v>
      </c>
      <c r="Q1199" s="256">
        <f t="shared" si="236"/>
        <v>70.400000000000006</v>
      </c>
      <c r="R1199" s="256">
        <f t="shared" si="237"/>
        <v>390.4</v>
      </c>
      <c r="S1199" s="296"/>
      <c r="T1199" s="3">
        <v>50</v>
      </c>
      <c r="U1199" s="294"/>
    </row>
    <row r="1200" spans="1:21" ht="15" customHeight="1" x14ac:dyDescent="0.35">
      <c r="A1200" s="218" t="s">
        <v>3519</v>
      </c>
      <c r="B1200" s="3">
        <v>1147</v>
      </c>
      <c r="C1200" s="44">
        <v>10006171</v>
      </c>
      <c r="D1200" s="18" t="s">
        <v>75</v>
      </c>
      <c r="E1200" s="18" t="s">
        <v>2228</v>
      </c>
      <c r="F1200" s="12">
        <v>5.8</v>
      </c>
      <c r="G1200" s="3" t="s">
        <v>8</v>
      </c>
      <c r="H1200" s="49">
        <v>2014</v>
      </c>
      <c r="I1200" s="27" t="s">
        <v>984</v>
      </c>
      <c r="J1200" s="5" t="s">
        <v>1962</v>
      </c>
      <c r="K1200" s="49" t="s">
        <v>2120</v>
      </c>
      <c r="L1200" s="5" t="s">
        <v>2147</v>
      </c>
      <c r="M1200" s="72">
        <f t="shared" si="229"/>
        <v>398.81</v>
      </c>
      <c r="N1200" s="72">
        <f t="shared" si="235"/>
        <v>68.760000000000005</v>
      </c>
      <c r="O1200" s="72">
        <v>398.81</v>
      </c>
      <c r="P1200" s="72">
        <v>440</v>
      </c>
      <c r="Q1200" s="256">
        <f t="shared" si="236"/>
        <v>96.8</v>
      </c>
      <c r="R1200" s="256">
        <f t="shared" si="237"/>
        <v>536.79999999999995</v>
      </c>
      <c r="S1200" s="296"/>
      <c r="T1200" s="3">
        <v>50</v>
      </c>
      <c r="U1200" s="294"/>
    </row>
    <row r="1201" spans="1:21" ht="15" customHeight="1" x14ac:dyDescent="0.35">
      <c r="A1201" s="218" t="s">
        <v>3520</v>
      </c>
      <c r="B1201" s="3">
        <v>1148</v>
      </c>
      <c r="C1201" s="44">
        <v>10006172</v>
      </c>
      <c r="D1201" s="18" t="s">
        <v>87</v>
      </c>
      <c r="E1201" s="18" t="s">
        <v>2228</v>
      </c>
      <c r="F1201" s="12">
        <v>14.05</v>
      </c>
      <c r="G1201" s="3" t="s">
        <v>8</v>
      </c>
      <c r="H1201" s="49">
        <v>2014</v>
      </c>
      <c r="I1201" s="27" t="s">
        <v>984</v>
      </c>
      <c r="J1201" s="5" t="s">
        <v>1962</v>
      </c>
      <c r="K1201" s="49" t="s">
        <v>2123</v>
      </c>
      <c r="L1201" s="5" t="s">
        <v>2147</v>
      </c>
      <c r="M1201" s="72">
        <f t="shared" ref="M1201:M1256" si="238">O1201</f>
        <v>863.35</v>
      </c>
      <c r="N1201" s="72">
        <f t="shared" si="235"/>
        <v>61.45</v>
      </c>
      <c r="O1201" s="72">
        <v>863.35</v>
      </c>
      <c r="P1201" s="72">
        <v>950</v>
      </c>
      <c r="Q1201" s="256">
        <f t="shared" si="236"/>
        <v>209</v>
      </c>
      <c r="R1201" s="256">
        <f t="shared" si="237"/>
        <v>1159</v>
      </c>
      <c r="S1201" s="296"/>
      <c r="T1201" s="3">
        <v>50</v>
      </c>
      <c r="U1201" s="294"/>
    </row>
    <row r="1202" spans="1:21" ht="15" customHeight="1" x14ac:dyDescent="0.35">
      <c r="A1202" s="218" t="s">
        <v>3521</v>
      </c>
      <c r="B1202" s="3">
        <v>1149</v>
      </c>
      <c r="C1202" s="44">
        <v>10088409</v>
      </c>
      <c r="D1202" s="18" t="s">
        <v>93</v>
      </c>
      <c r="E1202" s="19" t="s">
        <v>2219</v>
      </c>
      <c r="F1202" s="12">
        <f>23.6-23</f>
        <v>0.6</v>
      </c>
      <c r="G1202" s="3" t="s">
        <v>8</v>
      </c>
      <c r="H1202" s="49">
        <v>2014</v>
      </c>
      <c r="I1202" s="27" t="s">
        <v>984</v>
      </c>
      <c r="J1202" s="5" t="s">
        <v>1962</v>
      </c>
      <c r="K1202" s="49" t="s">
        <v>2124</v>
      </c>
      <c r="L1202" s="5" t="s">
        <v>2147</v>
      </c>
      <c r="M1202" s="72">
        <f t="shared" si="238"/>
        <v>30.31</v>
      </c>
      <c r="N1202" s="72">
        <f t="shared" si="235"/>
        <v>50.52</v>
      </c>
      <c r="O1202" s="72">
        <f>1192.12/23.6*0.6</f>
        <v>30.31</v>
      </c>
      <c r="P1202" s="72">
        <v>30</v>
      </c>
      <c r="Q1202" s="256">
        <f t="shared" si="236"/>
        <v>6.6</v>
      </c>
      <c r="R1202" s="256">
        <f t="shared" si="237"/>
        <v>36.6</v>
      </c>
      <c r="S1202" s="296"/>
      <c r="T1202" s="3">
        <v>50</v>
      </c>
      <c r="U1202" s="294"/>
    </row>
    <row r="1203" spans="1:21" ht="15" customHeight="1" x14ac:dyDescent="0.35">
      <c r="A1203" s="218" t="s">
        <v>3522</v>
      </c>
      <c r="B1203" s="3">
        <v>1150</v>
      </c>
      <c r="C1203" s="44">
        <v>10119125</v>
      </c>
      <c r="D1203" s="18" t="s">
        <v>97</v>
      </c>
      <c r="E1203" s="18" t="s">
        <v>2228</v>
      </c>
      <c r="F1203" s="12">
        <v>29</v>
      </c>
      <c r="G1203" s="3" t="s">
        <v>8</v>
      </c>
      <c r="H1203" s="49">
        <v>2014</v>
      </c>
      <c r="I1203" s="27" t="s">
        <v>984</v>
      </c>
      <c r="J1203" s="5" t="s">
        <v>1962</v>
      </c>
      <c r="K1203" s="49" t="s">
        <v>2125</v>
      </c>
      <c r="L1203" s="5" t="s">
        <v>2147</v>
      </c>
      <c r="M1203" s="72">
        <f t="shared" si="238"/>
        <v>971.5</v>
      </c>
      <c r="N1203" s="72">
        <f t="shared" si="235"/>
        <v>33.5</v>
      </c>
      <c r="O1203" s="72">
        <v>971.5</v>
      </c>
      <c r="P1203" s="72">
        <v>1070</v>
      </c>
      <c r="Q1203" s="256">
        <f t="shared" si="236"/>
        <v>235.4</v>
      </c>
      <c r="R1203" s="256">
        <f t="shared" si="237"/>
        <v>1305.4000000000001</v>
      </c>
      <c r="S1203" s="296"/>
      <c r="T1203" s="3">
        <v>50</v>
      </c>
      <c r="U1203" s="294"/>
    </row>
    <row r="1204" spans="1:21" ht="15" customHeight="1" x14ac:dyDescent="0.35">
      <c r="A1204" s="218" t="s">
        <v>3523</v>
      </c>
      <c r="B1204" s="3">
        <v>1151</v>
      </c>
      <c r="C1204" s="44">
        <v>10006188</v>
      </c>
      <c r="D1204" s="18" t="s">
        <v>100</v>
      </c>
      <c r="E1204" s="18" t="s">
        <v>2228</v>
      </c>
      <c r="F1204" s="12">
        <v>38</v>
      </c>
      <c r="G1204" s="3" t="s">
        <v>8</v>
      </c>
      <c r="H1204" s="49">
        <v>2014</v>
      </c>
      <c r="I1204" s="27" t="s">
        <v>984</v>
      </c>
      <c r="J1204" s="5" t="s">
        <v>1962</v>
      </c>
      <c r="K1204" s="49" t="s">
        <v>2126</v>
      </c>
      <c r="L1204" s="5" t="s">
        <v>2147</v>
      </c>
      <c r="M1204" s="72">
        <f t="shared" si="238"/>
        <v>2696.27</v>
      </c>
      <c r="N1204" s="72">
        <f t="shared" si="235"/>
        <v>70.95</v>
      </c>
      <c r="O1204" s="72">
        <v>2696.27</v>
      </c>
      <c r="P1204" s="72">
        <v>2960</v>
      </c>
      <c r="Q1204" s="256">
        <f t="shared" si="236"/>
        <v>651.20000000000005</v>
      </c>
      <c r="R1204" s="256">
        <f t="shared" si="237"/>
        <v>3611.2</v>
      </c>
      <c r="S1204" s="296"/>
      <c r="T1204" s="3">
        <v>50</v>
      </c>
      <c r="U1204" s="294"/>
    </row>
    <row r="1205" spans="1:21" ht="15" customHeight="1" x14ac:dyDescent="0.35">
      <c r="A1205" s="218" t="s">
        <v>3524</v>
      </c>
      <c r="B1205" s="3">
        <v>1152</v>
      </c>
      <c r="C1205" s="44">
        <v>10006177</v>
      </c>
      <c r="D1205" s="18" t="s">
        <v>106</v>
      </c>
      <c r="E1205" s="18" t="s">
        <v>2228</v>
      </c>
      <c r="F1205" s="12">
        <v>54</v>
      </c>
      <c r="G1205" s="3" t="s">
        <v>8</v>
      </c>
      <c r="H1205" s="49">
        <v>2014</v>
      </c>
      <c r="I1205" s="27" t="s">
        <v>984</v>
      </c>
      <c r="J1205" s="5" t="s">
        <v>1962</v>
      </c>
      <c r="K1205" s="49" t="s">
        <v>2127</v>
      </c>
      <c r="L1205" s="5" t="s">
        <v>2147</v>
      </c>
      <c r="M1205" s="72">
        <f t="shared" si="238"/>
        <v>3534.98</v>
      </c>
      <c r="N1205" s="72">
        <f t="shared" si="235"/>
        <v>65.459999999999994</v>
      </c>
      <c r="O1205" s="72">
        <v>3534.98</v>
      </c>
      <c r="P1205" s="72">
        <v>3880</v>
      </c>
      <c r="Q1205" s="256">
        <f t="shared" si="236"/>
        <v>853.6</v>
      </c>
      <c r="R1205" s="256">
        <f t="shared" si="237"/>
        <v>4733.6000000000004</v>
      </c>
      <c r="S1205" s="296"/>
      <c r="T1205" s="3">
        <v>50</v>
      </c>
      <c r="U1205" s="294"/>
    </row>
    <row r="1206" spans="1:21" ht="15" customHeight="1" x14ac:dyDescent="0.35">
      <c r="A1206" s="218" t="s">
        <v>3525</v>
      </c>
      <c r="B1206" s="3">
        <v>1153</v>
      </c>
      <c r="C1206" s="44">
        <v>10006182</v>
      </c>
      <c r="D1206" s="18" t="s">
        <v>109</v>
      </c>
      <c r="E1206" s="18" t="s">
        <v>2228</v>
      </c>
      <c r="F1206" s="12">
        <v>57</v>
      </c>
      <c r="G1206" s="3" t="s">
        <v>8</v>
      </c>
      <c r="H1206" s="49">
        <v>2014</v>
      </c>
      <c r="I1206" s="27" t="s">
        <v>984</v>
      </c>
      <c r="J1206" s="5" t="s">
        <v>1962</v>
      </c>
      <c r="K1206" s="49" t="s">
        <v>2128</v>
      </c>
      <c r="L1206" s="5" t="s">
        <v>2147</v>
      </c>
      <c r="M1206" s="72">
        <f t="shared" si="238"/>
        <v>3724.83</v>
      </c>
      <c r="N1206" s="72">
        <f t="shared" si="235"/>
        <v>65.349999999999994</v>
      </c>
      <c r="O1206" s="72">
        <v>3724.83</v>
      </c>
      <c r="P1206" s="72">
        <v>4090</v>
      </c>
      <c r="Q1206" s="256">
        <f t="shared" si="236"/>
        <v>899.8</v>
      </c>
      <c r="R1206" s="256">
        <f t="shared" si="237"/>
        <v>4989.8</v>
      </c>
      <c r="S1206" s="296"/>
      <c r="T1206" s="3">
        <v>50</v>
      </c>
      <c r="U1206" s="294"/>
    </row>
    <row r="1207" spans="1:21" ht="15" customHeight="1" x14ac:dyDescent="0.35">
      <c r="A1207" s="218" t="s">
        <v>3526</v>
      </c>
      <c r="B1207" s="3">
        <v>1154</v>
      </c>
      <c r="C1207" s="44">
        <v>10006190</v>
      </c>
      <c r="D1207" s="18" t="s">
        <v>114</v>
      </c>
      <c r="E1207" s="19" t="s">
        <v>2219</v>
      </c>
      <c r="F1207" s="12">
        <f>73.98-1-34</f>
        <v>38.979999999999997</v>
      </c>
      <c r="G1207" s="3" t="s">
        <v>8</v>
      </c>
      <c r="H1207" s="49">
        <v>2014</v>
      </c>
      <c r="I1207" s="27" t="s">
        <v>984</v>
      </c>
      <c r="J1207" s="5" t="s">
        <v>1962</v>
      </c>
      <c r="K1207" s="49" t="s">
        <v>2129</v>
      </c>
      <c r="L1207" s="5" t="s">
        <v>2147</v>
      </c>
      <c r="M1207" s="72">
        <f t="shared" si="238"/>
        <v>2508.8200000000002</v>
      </c>
      <c r="N1207" s="72">
        <f t="shared" si="235"/>
        <v>64.36</v>
      </c>
      <c r="O1207" s="72">
        <v>2508.8200000000002</v>
      </c>
      <c r="P1207" s="72">
        <v>2750</v>
      </c>
      <c r="Q1207" s="256">
        <f t="shared" si="236"/>
        <v>605</v>
      </c>
      <c r="R1207" s="256">
        <f t="shared" si="237"/>
        <v>3355</v>
      </c>
      <c r="S1207" s="296"/>
      <c r="T1207" s="3">
        <v>50</v>
      </c>
      <c r="U1207" s="294"/>
    </row>
    <row r="1208" spans="1:21" ht="22.5" customHeight="1" x14ac:dyDescent="0.35">
      <c r="A1208" s="218" t="s">
        <v>3527</v>
      </c>
      <c r="B1208" s="3">
        <v>1155</v>
      </c>
      <c r="C1208" s="44">
        <v>10108866</v>
      </c>
      <c r="D1208" s="18" t="s">
        <v>116</v>
      </c>
      <c r="E1208" s="18" t="s">
        <v>2228</v>
      </c>
      <c r="F1208" s="12">
        <f>87.45-81</f>
        <v>6.45</v>
      </c>
      <c r="G1208" s="3" t="s">
        <v>52</v>
      </c>
      <c r="H1208" s="49">
        <v>2014</v>
      </c>
      <c r="I1208" s="27" t="s">
        <v>984</v>
      </c>
      <c r="J1208" s="5" t="s">
        <v>1962</v>
      </c>
      <c r="K1208" s="49" t="s">
        <v>2130</v>
      </c>
      <c r="L1208" s="5" t="s">
        <v>2147</v>
      </c>
      <c r="M1208" s="72">
        <f t="shared" si="238"/>
        <v>1076.77</v>
      </c>
      <c r="N1208" s="72">
        <f t="shared" si="235"/>
        <v>166.94</v>
      </c>
      <c r="O1208" s="72">
        <f>14598.98/87.45*6.45</f>
        <v>1076.77</v>
      </c>
      <c r="P1208" s="72">
        <v>1180</v>
      </c>
      <c r="Q1208" s="256">
        <f t="shared" si="236"/>
        <v>259.60000000000002</v>
      </c>
      <c r="R1208" s="256">
        <f t="shared" si="237"/>
        <v>1439.6</v>
      </c>
      <c r="S1208" s="296"/>
      <c r="T1208" s="3">
        <v>50</v>
      </c>
      <c r="U1208" s="294"/>
    </row>
    <row r="1209" spans="1:21" ht="28.5" customHeight="1" x14ac:dyDescent="0.35">
      <c r="A1209" s="218" t="s">
        <v>4098</v>
      </c>
      <c r="B1209" s="3">
        <v>1156</v>
      </c>
      <c r="C1209" s="44">
        <v>10108866</v>
      </c>
      <c r="D1209" s="18" t="s">
        <v>116</v>
      </c>
      <c r="E1209" s="19" t="s">
        <v>2219</v>
      </c>
      <c r="F1209" s="12">
        <v>78</v>
      </c>
      <c r="G1209" s="3" t="s">
        <v>52</v>
      </c>
      <c r="H1209" s="49">
        <v>2014</v>
      </c>
      <c r="I1209" s="27" t="s">
        <v>984</v>
      </c>
      <c r="J1209" s="4" t="s">
        <v>1962</v>
      </c>
      <c r="K1209" s="4" t="s">
        <v>988</v>
      </c>
      <c r="L1209" s="29" t="s">
        <v>977</v>
      </c>
      <c r="M1209" s="72">
        <f t="shared" si="238"/>
        <v>13021.39</v>
      </c>
      <c r="N1209" s="72">
        <f t="shared" si="235"/>
        <v>166.94</v>
      </c>
      <c r="O1209" s="72">
        <v>13021.39</v>
      </c>
      <c r="P1209" s="72">
        <v>16750</v>
      </c>
      <c r="Q1209" s="256">
        <f t="shared" si="236"/>
        <v>3685</v>
      </c>
      <c r="R1209" s="256">
        <f t="shared" si="237"/>
        <v>20435</v>
      </c>
      <c r="S1209" s="296"/>
      <c r="T1209" s="3">
        <v>50</v>
      </c>
      <c r="U1209" s="294"/>
    </row>
    <row r="1210" spans="1:21" ht="15" customHeight="1" x14ac:dyDescent="0.35">
      <c r="A1210" s="218" t="s">
        <v>3528</v>
      </c>
      <c r="B1210" s="3">
        <v>1157</v>
      </c>
      <c r="C1210" s="44">
        <v>10119264</v>
      </c>
      <c r="D1210" s="18" t="s">
        <v>126</v>
      </c>
      <c r="E1210" s="18" t="s">
        <v>2228</v>
      </c>
      <c r="F1210" s="12">
        <f>204-6-4-40</f>
        <v>154</v>
      </c>
      <c r="G1210" s="3" t="s">
        <v>0</v>
      </c>
      <c r="H1210" s="49">
        <v>2014</v>
      </c>
      <c r="I1210" s="27" t="s">
        <v>984</v>
      </c>
      <c r="J1210" s="5" t="s">
        <v>1962</v>
      </c>
      <c r="K1210" s="49" t="s">
        <v>2132</v>
      </c>
      <c r="L1210" s="5" t="s">
        <v>2147</v>
      </c>
      <c r="M1210" s="72">
        <f t="shared" si="238"/>
        <v>1386</v>
      </c>
      <c r="N1210" s="72">
        <f t="shared" si="235"/>
        <v>9</v>
      </c>
      <c r="O1210" s="72">
        <f>1836/204*154</f>
        <v>1386</v>
      </c>
      <c r="P1210" s="72">
        <v>1520</v>
      </c>
      <c r="Q1210" s="256">
        <f t="shared" si="236"/>
        <v>334.4</v>
      </c>
      <c r="R1210" s="256">
        <f t="shared" si="237"/>
        <v>1854.4</v>
      </c>
      <c r="S1210" s="296"/>
      <c r="T1210" s="3">
        <v>50</v>
      </c>
      <c r="U1210" s="294"/>
    </row>
    <row r="1211" spans="1:21" ht="15" customHeight="1" x14ac:dyDescent="0.35">
      <c r="A1211" s="218" t="s">
        <v>3529</v>
      </c>
      <c r="B1211" s="3">
        <v>1158</v>
      </c>
      <c r="C1211" s="44">
        <v>10089871</v>
      </c>
      <c r="D1211" s="18" t="s">
        <v>133</v>
      </c>
      <c r="E1211" s="19" t="s">
        <v>2219</v>
      </c>
      <c r="F1211" s="12">
        <f>438-51-77-2.4-43.34</f>
        <v>264.26</v>
      </c>
      <c r="G1211" s="3" t="s">
        <v>8</v>
      </c>
      <c r="H1211" s="49">
        <v>2014</v>
      </c>
      <c r="I1211" s="27" t="s">
        <v>984</v>
      </c>
      <c r="J1211" s="5" t="s">
        <v>1962</v>
      </c>
      <c r="K1211" s="49" t="s">
        <v>2135</v>
      </c>
      <c r="L1211" s="5" t="s">
        <v>2147</v>
      </c>
      <c r="M1211" s="72">
        <f t="shared" si="238"/>
        <v>15865.7</v>
      </c>
      <c r="N1211" s="72">
        <f t="shared" si="235"/>
        <v>60.04</v>
      </c>
      <c r="O1211" s="72">
        <f>26296.74/438*264.26</f>
        <v>15865.7</v>
      </c>
      <c r="P1211" s="72">
        <v>17410</v>
      </c>
      <c r="Q1211" s="256">
        <f t="shared" si="236"/>
        <v>3830.2</v>
      </c>
      <c r="R1211" s="256">
        <f t="shared" si="237"/>
        <v>21240.2</v>
      </c>
      <c r="S1211" s="296"/>
      <c r="T1211" s="3">
        <v>50</v>
      </c>
      <c r="U1211" s="294"/>
    </row>
    <row r="1212" spans="1:21" ht="15" customHeight="1" x14ac:dyDescent="0.35">
      <c r="A1212" s="218" t="s">
        <v>3530</v>
      </c>
      <c r="B1212" s="3">
        <v>1159</v>
      </c>
      <c r="C1212" s="44">
        <v>10029589</v>
      </c>
      <c r="D1212" s="18" t="s">
        <v>136</v>
      </c>
      <c r="E1212" s="18" t="s">
        <v>2219</v>
      </c>
      <c r="F1212" s="12">
        <v>606</v>
      </c>
      <c r="G1212" s="3" t="s">
        <v>0</v>
      </c>
      <c r="H1212" s="49">
        <v>2014</v>
      </c>
      <c r="I1212" s="27" t="s">
        <v>984</v>
      </c>
      <c r="J1212" s="5" t="s">
        <v>1962</v>
      </c>
      <c r="K1212" s="49" t="s">
        <v>2137</v>
      </c>
      <c r="L1212" s="5" t="s">
        <v>2147</v>
      </c>
      <c r="M1212" s="72">
        <f t="shared" si="238"/>
        <v>9217.26</v>
      </c>
      <c r="N1212" s="72">
        <f t="shared" si="235"/>
        <v>15.21</v>
      </c>
      <c r="O1212" s="72">
        <v>9217.26</v>
      </c>
      <c r="P1212" s="72">
        <v>10110</v>
      </c>
      <c r="Q1212" s="256">
        <f t="shared" si="236"/>
        <v>2224.1999999999998</v>
      </c>
      <c r="R1212" s="256">
        <f t="shared" si="237"/>
        <v>12334.2</v>
      </c>
      <c r="S1212" s="296"/>
      <c r="T1212" s="3">
        <v>50</v>
      </c>
      <c r="U1212" s="294"/>
    </row>
    <row r="1213" spans="1:21" ht="15" customHeight="1" x14ac:dyDescent="0.35">
      <c r="A1213" s="218" t="s">
        <v>3531</v>
      </c>
      <c r="B1213" s="3">
        <v>1160</v>
      </c>
      <c r="C1213" s="44">
        <v>10071370</v>
      </c>
      <c r="D1213" s="18" t="s">
        <v>140</v>
      </c>
      <c r="E1213" s="18" t="s">
        <v>2219</v>
      </c>
      <c r="F1213" s="12">
        <v>4300</v>
      </c>
      <c r="G1213" s="3" t="s">
        <v>0</v>
      </c>
      <c r="H1213" s="49">
        <v>2014</v>
      </c>
      <c r="I1213" s="27" t="s">
        <v>984</v>
      </c>
      <c r="J1213" s="5" t="s">
        <v>1962</v>
      </c>
      <c r="K1213" s="49" t="s">
        <v>2138</v>
      </c>
      <c r="L1213" s="5" t="s">
        <v>2147</v>
      </c>
      <c r="M1213" s="72">
        <f t="shared" si="238"/>
        <v>2365</v>
      </c>
      <c r="N1213" s="72">
        <f t="shared" si="235"/>
        <v>0.55000000000000004</v>
      </c>
      <c r="O1213" s="72">
        <v>2365</v>
      </c>
      <c r="P1213" s="72">
        <v>2450</v>
      </c>
      <c r="Q1213" s="256">
        <f t="shared" si="236"/>
        <v>539</v>
      </c>
      <c r="R1213" s="256">
        <f t="shared" si="237"/>
        <v>2989</v>
      </c>
      <c r="S1213" s="297"/>
      <c r="T1213" s="3">
        <v>50</v>
      </c>
      <c r="U1213" s="294"/>
    </row>
    <row r="1214" spans="1:21" ht="15" customHeight="1" x14ac:dyDescent="0.35">
      <c r="A1214" s="218"/>
      <c r="B1214" s="94"/>
      <c r="C1214" s="44"/>
      <c r="D1214" s="18"/>
      <c r="E1214" s="18"/>
      <c r="F1214" s="12"/>
      <c r="G1214" s="3"/>
      <c r="H1214" s="49"/>
      <c r="I1214" s="27"/>
      <c r="J1214" s="5"/>
      <c r="K1214" s="49"/>
      <c r="L1214" s="5"/>
      <c r="M1214" s="72"/>
      <c r="N1214" s="72"/>
      <c r="O1214" s="82">
        <f>SUM(O1193:O1213)</f>
        <v>68562.789999999994</v>
      </c>
      <c r="P1214" s="276">
        <f t="shared" ref="P1214:Q1214" si="239">SUM(P1193:P1213)</f>
        <v>74710</v>
      </c>
      <c r="Q1214" s="282">
        <f t="shared" si="239"/>
        <v>16436.2</v>
      </c>
      <c r="R1214" s="282">
        <f>SUM(R1193:R1213)</f>
        <v>91146.2</v>
      </c>
      <c r="S1214" s="286">
        <f>R1214/100*10</f>
        <v>9114.6200000000008</v>
      </c>
      <c r="T1214" s="104">
        <v>50</v>
      </c>
      <c r="U1214" s="304"/>
    </row>
    <row r="1215" spans="1:21" ht="15" customHeight="1" x14ac:dyDescent="0.35">
      <c r="A1215" s="218" t="s">
        <v>3532</v>
      </c>
      <c r="B1215" s="3">
        <v>1161</v>
      </c>
      <c r="C1215" s="44">
        <v>10114040</v>
      </c>
      <c r="D1215" s="18" t="s">
        <v>78</v>
      </c>
      <c r="E1215" s="18" t="s">
        <v>2027</v>
      </c>
      <c r="F1215" s="12">
        <v>7</v>
      </c>
      <c r="G1215" s="3" t="s">
        <v>0</v>
      </c>
      <c r="H1215" s="49">
        <v>2014</v>
      </c>
      <c r="I1215" s="27" t="s">
        <v>984</v>
      </c>
      <c r="J1215" s="5" t="s">
        <v>1962</v>
      </c>
      <c r="K1215" s="49" t="s">
        <v>2079</v>
      </c>
      <c r="L1215" s="5" t="s">
        <v>2147</v>
      </c>
      <c r="M1215" s="72">
        <f t="shared" si="238"/>
        <v>12991.51</v>
      </c>
      <c r="N1215" s="72">
        <f>O1215/F1215</f>
        <v>1855.93</v>
      </c>
      <c r="O1215" s="72">
        <v>12991.51</v>
      </c>
      <c r="P1215" s="72">
        <v>18030</v>
      </c>
      <c r="Q1215" s="256">
        <f>R1215-P1215</f>
        <v>3966.6</v>
      </c>
      <c r="R1215" s="256">
        <f>P1215*1.22</f>
        <v>21996.6</v>
      </c>
      <c r="S1215" s="289"/>
      <c r="T1215" s="3">
        <v>51</v>
      </c>
      <c r="U1215" s="292" t="s">
        <v>4107</v>
      </c>
    </row>
    <row r="1216" spans="1:21" ht="15" customHeight="1" x14ac:dyDescent="0.35">
      <c r="A1216" s="218" t="s">
        <v>3533</v>
      </c>
      <c r="B1216" s="3">
        <v>1162</v>
      </c>
      <c r="C1216" s="44">
        <v>10095834</v>
      </c>
      <c r="D1216" s="18" t="s">
        <v>90</v>
      </c>
      <c r="E1216" s="18" t="s">
        <v>2027</v>
      </c>
      <c r="F1216" s="12">
        <v>17</v>
      </c>
      <c r="G1216" s="3" t="s">
        <v>0</v>
      </c>
      <c r="H1216" s="49">
        <v>2014</v>
      </c>
      <c r="I1216" s="27" t="s">
        <v>984</v>
      </c>
      <c r="J1216" s="5" t="s">
        <v>1962</v>
      </c>
      <c r="K1216" s="49" t="s">
        <v>2085</v>
      </c>
      <c r="L1216" s="5" t="s">
        <v>2147</v>
      </c>
      <c r="M1216" s="72">
        <f t="shared" si="238"/>
        <v>5927.56</v>
      </c>
      <c r="N1216" s="72">
        <f>O1216/F1216</f>
        <v>348.68</v>
      </c>
      <c r="O1216" s="72">
        <v>5927.56</v>
      </c>
      <c r="P1216" s="72">
        <v>9870</v>
      </c>
      <c r="Q1216" s="256">
        <f>R1216-P1216</f>
        <v>2171.4</v>
      </c>
      <c r="R1216" s="256">
        <f>P1216*1.22</f>
        <v>12041.4</v>
      </c>
      <c r="S1216" s="297"/>
      <c r="T1216" s="3">
        <v>51</v>
      </c>
      <c r="U1216" s="294"/>
    </row>
    <row r="1217" spans="1:21" ht="15" customHeight="1" x14ac:dyDescent="0.35">
      <c r="A1217" s="218"/>
      <c r="B1217" s="94"/>
      <c r="C1217" s="44"/>
      <c r="D1217" s="18"/>
      <c r="E1217" s="18"/>
      <c r="F1217" s="12"/>
      <c r="G1217" s="3"/>
      <c r="H1217" s="49"/>
      <c r="I1217" s="27"/>
      <c r="J1217" s="5"/>
      <c r="K1217" s="49"/>
      <c r="L1217" s="5"/>
      <c r="M1217" s="72"/>
      <c r="N1217" s="72"/>
      <c r="O1217" s="82">
        <f>SUM(O1215:O1216)</f>
        <v>18919.07</v>
      </c>
      <c r="P1217" s="276">
        <f t="shared" ref="P1217:Q1217" si="240">SUM(P1215:P1216)</f>
        <v>27900</v>
      </c>
      <c r="Q1217" s="282">
        <f t="shared" si="240"/>
        <v>6138</v>
      </c>
      <c r="R1217" s="282">
        <f>SUM(R1215:R1216)</f>
        <v>34038</v>
      </c>
      <c r="S1217" s="286">
        <f>R1217/100*10</f>
        <v>3403.8</v>
      </c>
      <c r="T1217" s="104">
        <v>51</v>
      </c>
      <c r="U1217" s="295"/>
    </row>
    <row r="1218" spans="1:21" ht="15" customHeight="1" x14ac:dyDescent="0.35">
      <c r="A1218" s="218" t="s">
        <v>3534</v>
      </c>
      <c r="B1218" s="3">
        <v>1163</v>
      </c>
      <c r="C1218" s="44">
        <v>102000312</v>
      </c>
      <c r="D1218" s="18" t="s">
        <v>1488</v>
      </c>
      <c r="E1218" s="19" t="s">
        <v>2219</v>
      </c>
      <c r="F1218" s="12">
        <v>2</v>
      </c>
      <c r="G1218" s="3" t="s">
        <v>0</v>
      </c>
      <c r="H1218" s="39">
        <v>41891</v>
      </c>
      <c r="I1218" s="27" t="s">
        <v>984</v>
      </c>
      <c r="J1218" s="4" t="s">
        <v>1962</v>
      </c>
      <c r="K1218" s="4" t="s">
        <v>988</v>
      </c>
      <c r="L1218" s="29" t="s">
        <v>977</v>
      </c>
      <c r="M1218" s="78">
        <f t="shared" si="238"/>
        <v>201689.77</v>
      </c>
      <c r="N1218" s="78">
        <f t="shared" ref="N1218:N1224" si="241">O1218/F1218</f>
        <v>100844.89</v>
      </c>
      <c r="O1218" s="78">
        <v>201689.77</v>
      </c>
      <c r="P1218" s="72">
        <v>388500</v>
      </c>
      <c r="Q1218" s="256">
        <f t="shared" ref="Q1218:Q1224" si="242">R1218-P1218</f>
        <v>85470</v>
      </c>
      <c r="R1218" s="256">
        <f t="shared" ref="R1218:R1224" si="243">P1218*1.22</f>
        <v>473970</v>
      </c>
      <c r="S1218" s="289"/>
      <c r="T1218" s="3">
        <v>52</v>
      </c>
      <c r="U1218" s="292" t="s">
        <v>2330</v>
      </c>
    </row>
    <row r="1219" spans="1:21" ht="15" customHeight="1" x14ac:dyDescent="0.35">
      <c r="A1219" s="218" t="s">
        <v>3535</v>
      </c>
      <c r="B1219" s="3">
        <v>1164</v>
      </c>
      <c r="C1219" s="44">
        <v>102000708</v>
      </c>
      <c r="D1219" s="18" t="s">
        <v>1489</v>
      </c>
      <c r="E1219" s="19" t="s">
        <v>2219</v>
      </c>
      <c r="F1219" s="12">
        <v>2</v>
      </c>
      <c r="G1219" s="3" t="s">
        <v>0</v>
      </c>
      <c r="H1219" s="39">
        <v>41891</v>
      </c>
      <c r="I1219" s="27" t="s">
        <v>984</v>
      </c>
      <c r="J1219" s="4" t="s">
        <v>1962</v>
      </c>
      <c r="K1219" s="4" t="s">
        <v>988</v>
      </c>
      <c r="L1219" s="29" t="s">
        <v>977</v>
      </c>
      <c r="M1219" s="78">
        <f t="shared" si="238"/>
        <v>296077.87</v>
      </c>
      <c r="N1219" s="78">
        <f t="shared" si="241"/>
        <v>148038.94</v>
      </c>
      <c r="O1219" s="78">
        <v>296077.87</v>
      </c>
      <c r="P1219" s="72">
        <v>570320</v>
      </c>
      <c r="Q1219" s="256">
        <f t="shared" si="242"/>
        <v>125470.39999999999</v>
      </c>
      <c r="R1219" s="256">
        <f t="shared" si="243"/>
        <v>695790.4</v>
      </c>
      <c r="S1219" s="296"/>
      <c r="T1219" s="3">
        <v>52</v>
      </c>
      <c r="U1219" s="293"/>
    </row>
    <row r="1220" spans="1:21" ht="15" customHeight="1" x14ac:dyDescent="0.35">
      <c r="A1220" s="218" t="s">
        <v>3536</v>
      </c>
      <c r="B1220" s="3">
        <v>1165</v>
      </c>
      <c r="C1220" s="44">
        <v>102001165</v>
      </c>
      <c r="D1220" s="18" t="s">
        <v>1490</v>
      </c>
      <c r="E1220" s="19" t="s">
        <v>2219</v>
      </c>
      <c r="F1220" s="12">
        <v>2</v>
      </c>
      <c r="G1220" s="3" t="s">
        <v>0</v>
      </c>
      <c r="H1220" s="39">
        <v>41891</v>
      </c>
      <c r="I1220" s="27" t="s">
        <v>984</v>
      </c>
      <c r="J1220" s="4" t="s">
        <v>1962</v>
      </c>
      <c r="K1220" s="4" t="s">
        <v>988</v>
      </c>
      <c r="L1220" s="29" t="s">
        <v>977</v>
      </c>
      <c r="M1220" s="78">
        <f t="shared" si="238"/>
        <v>315464.33</v>
      </c>
      <c r="N1220" s="78">
        <f t="shared" si="241"/>
        <v>157732.17000000001</v>
      </c>
      <c r="O1220" s="78">
        <v>315464.33</v>
      </c>
      <c r="P1220" s="72">
        <v>607660</v>
      </c>
      <c r="Q1220" s="256">
        <f t="shared" si="242"/>
        <v>133685.20000000001</v>
      </c>
      <c r="R1220" s="256">
        <f t="shared" si="243"/>
        <v>741345.2</v>
      </c>
      <c r="S1220" s="296"/>
      <c r="T1220" s="3">
        <v>52</v>
      </c>
      <c r="U1220" s="293"/>
    </row>
    <row r="1221" spans="1:21" ht="15" customHeight="1" x14ac:dyDescent="0.35">
      <c r="A1221" s="218" t="s">
        <v>3537</v>
      </c>
      <c r="B1221" s="3">
        <v>1166</v>
      </c>
      <c r="C1221" s="44">
        <v>102001058</v>
      </c>
      <c r="D1221" s="18" t="s">
        <v>1491</v>
      </c>
      <c r="E1221" s="19" t="s">
        <v>2219</v>
      </c>
      <c r="F1221" s="12">
        <v>2</v>
      </c>
      <c r="G1221" s="3" t="s">
        <v>0</v>
      </c>
      <c r="H1221" s="39">
        <v>41891</v>
      </c>
      <c r="I1221" s="27" t="s">
        <v>984</v>
      </c>
      <c r="J1221" s="4" t="s">
        <v>1962</v>
      </c>
      <c r="K1221" s="4" t="s">
        <v>988</v>
      </c>
      <c r="L1221" s="29" t="s">
        <v>977</v>
      </c>
      <c r="M1221" s="78">
        <f t="shared" si="238"/>
        <v>199954.92</v>
      </c>
      <c r="N1221" s="78">
        <f t="shared" si="241"/>
        <v>99977.46</v>
      </c>
      <c r="O1221" s="78">
        <v>199954.92</v>
      </c>
      <c r="P1221" s="72">
        <v>385160</v>
      </c>
      <c r="Q1221" s="256">
        <f t="shared" si="242"/>
        <v>84735.2</v>
      </c>
      <c r="R1221" s="256">
        <f t="shared" si="243"/>
        <v>469895.2</v>
      </c>
      <c r="S1221" s="296"/>
      <c r="T1221" s="3">
        <v>52</v>
      </c>
      <c r="U1221" s="293"/>
    </row>
    <row r="1222" spans="1:21" ht="19.5" customHeight="1" x14ac:dyDescent="0.35">
      <c r="A1222" s="218" t="s">
        <v>3538</v>
      </c>
      <c r="B1222" s="3">
        <v>1167</v>
      </c>
      <c r="C1222" s="44">
        <v>10135643</v>
      </c>
      <c r="D1222" s="18" t="s">
        <v>1916</v>
      </c>
      <c r="E1222" s="19" t="s">
        <v>2219</v>
      </c>
      <c r="F1222" s="12">
        <v>1</v>
      </c>
      <c r="G1222" s="3" t="s">
        <v>0</v>
      </c>
      <c r="H1222" s="39">
        <v>42004</v>
      </c>
      <c r="I1222" s="27" t="s">
        <v>984</v>
      </c>
      <c r="J1222" s="4" t="s">
        <v>1962</v>
      </c>
      <c r="K1222" s="4" t="s">
        <v>988</v>
      </c>
      <c r="L1222" s="29" t="s">
        <v>977</v>
      </c>
      <c r="M1222" s="78">
        <f t="shared" si="238"/>
        <v>30455.18</v>
      </c>
      <c r="N1222" s="78">
        <f t="shared" si="241"/>
        <v>30455.18</v>
      </c>
      <c r="O1222" s="78">
        <v>30455.18</v>
      </c>
      <c r="P1222" s="72">
        <v>54400</v>
      </c>
      <c r="Q1222" s="256">
        <f t="shared" si="242"/>
        <v>11968</v>
      </c>
      <c r="R1222" s="256">
        <f t="shared" si="243"/>
        <v>66368</v>
      </c>
      <c r="S1222" s="296"/>
      <c r="T1222" s="3">
        <v>52</v>
      </c>
      <c r="U1222" s="293"/>
    </row>
    <row r="1223" spans="1:21" ht="15" customHeight="1" x14ac:dyDescent="0.35">
      <c r="A1223" s="218" t="s">
        <v>3539</v>
      </c>
      <c r="B1223" s="3">
        <v>1168</v>
      </c>
      <c r="C1223" s="44">
        <v>102001000</v>
      </c>
      <c r="D1223" s="18" t="s">
        <v>1917</v>
      </c>
      <c r="E1223" s="19" t="s">
        <v>2219</v>
      </c>
      <c r="F1223" s="12">
        <v>1</v>
      </c>
      <c r="G1223" s="3" t="s">
        <v>0</v>
      </c>
      <c r="H1223" s="39">
        <v>42004</v>
      </c>
      <c r="I1223" s="27" t="s">
        <v>984</v>
      </c>
      <c r="J1223" s="4" t="s">
        <v>1962</v>
      </c>
      <c r="K1223" s="4" t="s">
        <v>988</v>
      </c>
      <c r="L1223" s="29" t="s">
        <v>977</v>
      </c>
      <c r="M1223" s="78">
        <f t="shared" si="238"/>
        <v>150315.39000000001</v>
      </c>
      <c r="N1223" s="78">
        <f t="shared" si="241"/>
        <v>150315.39000000001</v>
      </c>
      <c r="O1223" s="78">
        <v>150315.39000000001</v>
      </c>
      <c r="P1223" s="72">
        <v>268510</v>
      </c>
      <c r="Q1223" s="256">
        <f t="shared" si="242"/>
        <v>59072.2</v>
      </c>
      <c r="R1223" s="256">
        <f t="shared" si="243"/>
        <v>327582.2</v>
      </c>
      <c r="S1223" s="296"/>
      <c r="T1223" s="3">
        <v>52</v>
      </c>
      <c r="U1223" s="293"/>
    </row>
    <row r="1224" spans="1:21" ht="15" customHeight="1" x14ac:dyDescent="0.35">
      <c r="A1224" s="218" t="s">
        <v>3540</v>
      </c>
      <c r="B1224" s="3">
        <v>1169</v>
      </c>
      <c r="C1224" s="65">
        <v>102001179</v>
      </c>
      <c r="D1224" s="8" t="s">
        <v>1933</v>
      </c>
      <c r="E1224" s="19" t="s">
        <v>2219</v>
      </c>
      <c r="F1224" s="92">
        <v>1</v>
      </c>
      <c r="G1224" s="3" t="s">
        <v>0</v>
      </c>
      <c r="H1224" s="40">
        <v>41395</v>
      </c>
      <c r="I1224" s="27" t="s">
        <v>984</v>
      </c>
      <c r="J1224" s="4" t="s">
        <v>1962</v>
      </c>
      <c r="K1224" s="4" t="s">
        <v>988</v>
      </c>
      <c r="L1224" s="29" t="s">
        <v>977</v>
      </c>
      <c r="M1224" s="78">
        <f t="shared" si="238"/>
        <v>59517.77</v>
      </c>
      <c r="N1224" s="78">
        <f t="shared" si="241"/>
        <v>59517.77</v>
      </c>
      <c r="O1224" s="78">
        <v>59517.77</v>
      </c>
      <c r="P1224" s="72">
        <v>119180</v>
      </c>
      <c r="Q1224" s="256">
        <f t="shared" si="242"/>
        <v>26219.599999999999</v>
      </c>
      <c r="R1224" s="256">
        <f t="shared" si="243"/>
        <v>145399.6</v>
      </c>
      <c r="S1224" s="297"/>
      <c r="T1224" s="3">
        <v>52</v>
      </c>
      <c r="U1224" s="293"/>
    </row>
    <row r="1225" spans="1:21" ht="15" customHeight="1" x14ac:dyDescent="0.35">
      <c r="A1225" s="218"/>
      <c r="B1225" s="94"/>
      <c r="C1225" s="65"/>
      <c r="D1225" s="8"/>
      <c r="E1225" s="19"/>
      <c r="F1225" s="92"/>
      <c r="G1225" s="3"/>
      <c r="H1225" s="40"/>
      <c r="I1225" s="27"/>
      <c r="J1225" s="4"/>
      <c r="K1225" s="4"/>
      <c r="L1225" s="29"/>
      <c r="M1225" s="78"/>
      <c r="N1225" s="78"/>
      <c r="O1225" s="108">
        <f>SUM(O1218:O1224)</f>
        <v>1253475.23</v>
      </c>
      <c r="P1225" s="276">
        <f t="shared" ref="P1225:Q1225" si="244">SUM(P1218:P1224)</f>
        <v>2393730</v>
      </c>
      <c r="Q1225" s="282">
        <f t="shared" si="244"/>
        <v>526620.6</v>
      </c>
      <c r="R1225" s="282">
        <f>SUM(R1218:R1224)</f>
        <v>2920350.6</v>
      </c>
      <c r="S1225" s="286">
        <f>R1225/100*10</f>
        <v>292035.06</v>
      </c>
      <c r="T1225" s="104">
        <v>52</v>
      </c>
      <c r="U1225" s="304"/>
    </row>
    <row r="1226" spans="1:21" ht="15" customHeight="1" x14ac:dyDescent="0.35">
      <c r="A1226" s="218" t="s">
        <v>3541</v>
      </c>
      <c r="B1226" s="3">
        <v>1170</v>
      </c>
      <c r="C1226" s="44">
        <v>102001372</v>
      </c>
      <c r="D1226" s="18" t="s">
        <v>335</v>
      </c>
      <c r="E1226" s="18" t="s">
        <v>2197</v>
      </c>
      <c r="F1226" s="12">
        <v>1</v>
      </c>
      <c r="G1226" s="3" t="s">
        <v>0</v>
      </c>
      <c r="H1226" s="49" t="s">
        <v>2195</v>
      </c>
      <c r="I1226" s="5" t="s">
        <v>999</v>
      </c>
      <c r="J1226" s="5" t="s">
        <v>986</v>
      </c>
      <c r="K1226" s="5" t="s">
        <v>988</v>
      </c>
      <c r="L1226" s="5" t="s">
        <v>871</v>
      </c>
      <c r="M1226" s="72">
        <f t="shared" si="238"/>
        <v>11516960</v>
      </c>
      <c r="N1226" s="72">
        <f t="shared" ref="N1226:N1257" si="245">O1226/F1226</f>
        <v>11516960</v>
      </c>
      <c r="O1226" s="72">
        <v>11516960</v>
      </c>
      <c r="P1226" s="72">
        <v>12108190</v>
      </c>
      <c r="Q1226" s="256">
        <f t="shared" ref="Q1226:Q1257" si="246">R1226-P1226</f>
        <v>2663801.7999999998</v>
      </c>
      <c r="R1226" s="256">
        <f t="shared" ref="R1226:R1257" si="247">P1226*1.22</f>
        <v>14771991.800000001</v>
      </c>
      <c r="S1226" s="289"/>
      <c r="T1226" s="3">
        <v>53</v>
      </c>
      <c r="U1226" s="292" t="s">
        <v>2330</v>
      </c>
    </row>
    <row r="1227" spans="1:21" ht="15" customHeight="1" x14ac:dyDescent="0.35">
      <c r="A1227" s="218" t="s">
        <v>3542</v>
      </c>
      <c r="B1227" s="3">
        <v>1171</v>
      </c>
      <c r="C1227" s="44">
        <v>102001053</v>
      </c>
      <c r="D1227" s="18" t="s">
        <v>233</v>
      </c>
      <c r="E1227" s="18" t="s">
        <v>2204</v>
      </c>
      <c r="F1227" s="12">
        <v>1</v>
      </c>
      <c r="G1227" s="3" t="s">
        <v>0</v>
      </c>
      <c r="H1227" s="5">
        <v>42563</v>
      </c>
      <c r="I1227" s="5" t="s">
        <v>2144</v>
      </c>
      <c r="J1227" s="4" t="s">
        <v>1962</v>
      </c>
      <c r="K1227" s="5" t="s">
        <v>988</v>
      </c>
      <c r="L1227" s="5" t="s">
        <v>871</v>
      </c>
      <c r="M1227" s="72">
        <f t="shared" si="238"/>
        <v>89468.13</v>
      </c>
      <c r="N1227" s="72">
        <f t="shared" si="245"/>
        <v>89468.13</v>
      </c>
      <c r="O1227" s="72">
        <v>89468.13</v>
      </c>
      <c r="P1227" s="72">
        <v>60410</v>
      </c>
      <c r="Q1227" s="256">
        <f t="shared" si="246"/>
        <v>13290.2</v>
      </c>
      <c r="R1227" s="256">
        <f t="shared" si="247"/>
        <v>73700.2</v>
      </c>
      <c r="S1227" s="296"/>
      <c r="T1227" s="3">
        <v>53</v>
      </c>
      <c r="U1227" s="293"/>
    </row>
    <row r="1228" spans="1:21" ht="15" customHeight="1" x14ac:dyDescent="0.35">
      <c r="A1228" s="218" t="s">
        <v>3543</v>
      </c>
      <c r="B1228" s="3">
        <v>1172</v>
      </c>
      <c r="C1228" s="44">
        <v>102000860</v>
      </c>
      <c r="D1228" s="18" t="s">
        <v>321</v>
      </c>
      <c r="E1228" s="18" t="s">
        <v>2197</v>
      </c>
      <c r="F1228" s="12">
        <v>1</v>
      </c>
      <c r="G1228" s="3" t="s">
        <v>0</v>
      </c>
      <c r="H1228" s="49" t="s">
        <v>2195</v>
      </c>
      <c r="I1228" s="49" t="s">
        <v>999</v>
      </c>
      <c r="J1228" s="5" t="s">
        <v>986</v>
      </c>
      <c r="K1228" s="5" t="s">
        <v>988</v>
      </c>
      <c r="L1228" s="5" t="s">
        <v>871</v>
      </c>
      <c r="M1228" s="72">
        <f t="shared" si="238"/>
        <v>577808</v>
      </c>
      <c r="N1228" s="72">
        <f t="shared" si="245"/>
        <v>577808</v>
      </c>
      <c r="O1228" s="72">
        <v>577808</v>
      </c>
      <c r="P1228" s="72">
        <v>607470</v>
      </c>
      <c r="Q1228" s="256">
        <f t="shared" si="246"/>
        <v>133643.4</v>
      </c>
      <c r="R1228" s="256">
        <f t="shared" si="247"/>
        <v>741113.4</v>
      </c>
      <c r="S1228" s="296"/>
      <c r="T1228" s="3">
        <v>53</v>
      </c>
      <c r="U1228" s="293"/>
    </row>
    <row r="1229" spans="1:21" ht="15" customHeight="1" x14ac:dyDescent="0.35">
      <c r="A1229" s="218" t="s">
        <v>3544</v>
      </c>
      <c r="B1229" s="3">
        <v>1173</v>
      </c>
      <c r="C1229" s="44">
        <v>102000906</v>
      </c>
      <c r="D1229" s="18" t="s">
        <v>323</v>
      </c>
      <c r="E1229" s="18" t="s">
        <v>2197</v>
      </c>
      <c r="F1229" s="12">
        <v>1</v>
      </c>
      <c r="G1229" s="3" t="s">
        <v>0</v>
      </c>
      <c r="H1229" s="49" t="s">
        <v>2195</v>
      </c>
      <c r="I1229" s="49" t="s">
        <v>999</v>
      </c>
      <c r="J1229" s="5" t="s">
        <v>2199</v>
      </c>
      <c r="K1229" s="5" t="s">
        <v>988</v>
      </c>
      <c r="L1229" s="5" t="s">
        <v>871</v>
      </c>
      <c r="M1229" s="72">
        <f t="shared" si="238"/>
        <v>642507.63</v>
      </c>
      <c r="N1229" s="72">
        <f t="shared" si="245"/>
        <v>642507.63</v>
      </c>
      <c r="O1229" s="72">
        <v>642507.63</v>
      </c>
      <c r="P1229" s="72">
        <v>675490</v>
      </c>
      <c r="Q1229" s="256">
        <f t="shared" si="246"/>
        <v>148607.79999999999</v>
      </c>
      <c r="R1229" s="256">
        <f t="shared" si="247"/>
        <v>824097.8</v>
      </c>
      <c r="S1229" s="296"/>
      <c r="T1229" s="3">
        <v>53</v>
      </c>
      <c r="U1229" s="293"/>
    </row>
    <row r="1230" spans="1:21" ht="15" customHeight="1" x14ac:dyDescent="0.35">
      <c r="A1230" s="218" t="s">
        <v>3545</v>
      </c>
      <c r="B1230" s="3">
        <v>1174</v>
      </c>
      <c r="C1230" s="44">
        <v>102000948</v>
      </c>
      <c r="D1230" s="18" t="s">
        <v>324</v>
      </c>
      <c r="E1230" s="18" t="s">
        <v>2197</v>
      </c>
      <c r="F1230" s="12">
        <v>1</v>
      </c>
      <c r="G1230" s="3" t="s">
        <v>0</v>
      </c>
      <c r="H1230" s="49" t="s">
        <v>2195</v>
      </c>
      <c r="I1230" s="49" t="s">
        <v>999</v>
      </c>
      <c r="J1230" s="5" t="s">
        <v>986</v>
      </c>
      <c r="K1230" s="5" t="s">
        <v>988</v>
      </c>
      <c r="L1230" s="5" t="s">
        <v>871</v>
      </c>
      <c r="M1230" s="72">
        <f t="shared" si="238"/>
        <v>111864.41</v>
      </c>
      <c r="N1230" s="72">
        <f t="shared" si="245"/>
        <v>111864.41</v>
      </c>
      <c r="O1230" s="72">
        <v>111864.41</v>
      </c>
      <c r="P1230" s="72">
        <v>117610</v>
      </c>
      <c r="Q1230" s="256">
        <f t="shared" si="246"/>
        <v>25874.2</v>
      </c>
      <c r="R1230" s="256">
        <f t="shared" si="247"/>
        <v>143484.20000000001</v>
      </c>
      <c r="S1230" s="296"/>
      <c r="T1230" s="3">
        <v>53</v>
      </c>
      <c r="U1230" s="293"/>
    </row>
    <row r="1231" spans="1:21" ht="15" customHeight="1" x14ac:dyDescent="0.35">
      <c r="A1231" s="218" t="s">
        <v>3546</v>
      </c>
      <c r="B1231" s="3">
        <v>1175</v>
      </c>
      <c r="C1231" s="44">
        <v>102000998</v>
      </c>
      <c r="D1231" s="18" t="s">
        <v>326</v>
      </c>
      <c r="E1231" s="18" t="s">
        <v>2197</v>
      </c>
      <c r="F1231" s="12">
        <v>1</v>
      </c>
      <c r="G1231" s="3" t="s">
        <v>0</v>
      </c>
      <c r="H1231" s="49" t="s">
        <v>2195</v>
      </c>
      <c r="I1231" s="49" t="s">
        <v>999</v>
      </c>
      <c r="J1231" s="5" t="s">
        <v>986</v>
      </c>
      <c r="K1231" s="5" t="s">
        <v>988</v>
      </c>
      <c r="L1231" s="5" t="s">
        <v>871</v>
      </c>
      <c r="M1231" s="72">
        <f t="shared" si="238"/>
        <v>8050.85</v>
      </c>
      <c r="N1231" s="72">
        <f t="shared" si="245"/>
        <v>8050.85</v>
      </c>
      <c r="O1231" s="72">
        <v>8050.85</v>
      </c>
      <c r="P1231" s="72">
        <v>8460</v>
      </c>
      <c r="Q1231" s="256">
        <f t="shared" si="246"/>
        <v>1861.2</v>
      </c>
      <c r="R1231" s="256">
        <f t="shared" si="247"/>
        <v>10321.200000000001</v>
      </c>
      <c r="S1231" s="296"/>
      <c r="T1231" s="3">
        <v>53</v>
      </c>
      <c r="U1231" s="293"/>
    </row>
    <row r="1232" spans="1:21" ht="15" customHeight="1" x14ac:dyDescent="0.35">
      <c r="A1232" s="218" t="s">
        <v>3547</v>
      </c>
      <c r="B1232" s="3">
        <v>1176</v>
      </c>
      <c r="C1232" s="44">
        <v>102001129</v>
      </c>
      <c r="D1232" s="18" t="s">
        <v>329</v>
      </c>
      <c r="E1232" s="18" t="s">
        <v>2197</v>
      </c>
      <c r="F1232" s="12">
        <v>1</v>
      </c>
      <c r="G1232" s="3" t="s">
        <v>0</v>
      </c>
      <c r="H1232" s="49" t="s">
        <v>2195</v>
      </c>
      <c r="I1232" s="49" t="s">
        <v>999</v>
      </c>
      <c r="J1232" s="5" t="s">
        <v>986</v>
      </c>
      <c r="K1232" s="5" t="s">
        <v>988</v>
      </c>
      <c r="L1232" s="5" t="s">
        <v>871</v>
      </c>
      <c r="M1232" s="72">
        <f t="shared" si="238"/>
        <v>3127.12</v>
      </c>
      <c r="N1232" s="72">
        <f t="shared" si="245"/>
        <v>3127.12</v>
      </c>
      <c r="O1232" s="72">
        <v>3127.12</v>
      </c>
      <c r="P1232" s="72">
        <v>3290</v>
      </c>
      <c r="Q1232" s="256">
        <f t="shared" si="246"/>
        <v>723.8</v>
      </c>
      <c r="R1232" s="256">
        <f t="shared" si="247"/>
        <v>4013.8</v>
      </c>
      <c r="S1232" s="296"/>
      <c r="T1232" s="3">
        <v>53</v>
      </c>
      <c r="U1232" s="293"/>
    </row>
    <row r="1233" spans="1:21" ht="15" customHeight="1" x14ac:dyDescent="0.35">
      <c r="A1233" s="218" t="s">
        <v>3548</v>
      </c>
      <c r="B1233" s="3">
        <v>1177</v>
      </c>
      <c r="C1233" s="44">
        <v>102001312</v>
      </c>
      <c r="D1233" s="18" t="s">
        <v>334</v>
      </c>
      <c r="E1233" s="18" t="s">
        <v>2197</v>
      </c>
      <c r="F1233" s="12">
        <v>1</v>
      </c>
      <c r="G1233" s="3" t="s">
        <v>0</v>
      </c>
      <c r="H1233" s="49" t="s">
        <v>2195</v>
      </c>
      <c r="I1233" s="49" t="s">
        <v>999</v>
      </c>
      <c r="J1233" s="5" t="s">
        <v>986</v>
      </c>
      <c r="K1233" s="5" t="s">
        <v>988</v>
      </c>
      <c r="L1233" s="5" t="s">
        <v>871</v>
      </c>
      <c r="M1233" s="72">
        <f t="shared" si="238"/>
        <v>69405</v>
      </c>
      <c r="N1233" s="72">
        <f t="shared" si="245"/>
        <v>69405</v>
      </c>
      <c r="O1233" s="72">
        <v>69405</v>
      </c>
      <c r="P1233" s="72">
        <v>72970</v>
      </c>
      <c r="Q1233" s="256">
        <f t="shared" si="246"/>
        <v>16053.4</v>
      </c>
      <c r="R1233" s="256">
        <f t="shared" si="247"/>
        <v>89023.4</v>
      </c>
      <c r="S1233" s="296"/>
      <c r="T1233" s="3">
        <v>53</v>
      </c>
      <c r="U1233" s="293"/>
    </row>
    <row r="1234" spans="1:21" ht="15" customHeight="1" x14ac:dyDescent="0.35">
      <c r="A1234" s="218" t="s">
        <v>3549</v>
      </c>
      <c r="B1234" s="3">
        <v>1178</v>
      </c>
      <c r="C1234" s="44">
        <v>102001385</v>
      </c>
      <c r="D1234" s="18" t="s">
        <v>336</v>
      </c>
      <c r="E1234" s="18" t="s">
        <v>2197</v>
      </c>
      <c r="F1234" s="12">
        <v>1</v>
      </c>
      <c r="G1234" s="3" t="s">
        <v>0</v>
      </c>
      <c r="H1234" s="49" t="s">
        <v>2195</v>
      </c>
      <c r="I1234" s="49" t="s">
        <v>999</v>
      </c>
      <c r="J1234" s="5" t="s">
        <v>986</v>
      </c>
      <c r="K1234" s="5" t="s">
        <v>988</v>
      </c>
      <c r="L1234" s="5" t="s">
        <v>871</v>
      </c>
      <c r="M1234" s="72">
        <f t="shared" si="238"/>
        <v>31322.03</v>
      </c>
      <c r="N1234" s="72">
        <f t="shared" si="245"/>
        <v>31322.03</v>
      </c>
      <c r="O1234" s="72">
        <v>31322.03</v>
      </c>
      <c r="P1234" s="72">
        <v>32930</v>
      </c>
      <c r="Q1234" s="256">
        <f t="shared" si="246"/>
        <v>7244.6</v>
      </c>
      <c r="R1234" s="256">
        <f t="shared" si="247"/>
        <v>40174.6</v>
      </c>
      <c r="S1234" s="296"/>
      <c r="T1234" s="3">
        <v>53</v>
      </c>
      <c r="U1234" s="293"/>
    </row>
    <row r="1235" spans="1:21" ht="15" customHeight="1" x14ac:dyDescent="0.35">
      <c r="A1235" s="218" t="s">
        <v>3550</v>
      </c>
      <c r="B1235" s="3">
        <v>1179</v>
      </c>
      <c r="C1235" s="44">
        <v>102000840</v>
      </c>
      <c r="D1235" s="18" t="s">
        <v>360</v>
      </c>
      <c r="E1235" s="18" t="s">
        <v>2201</v>
      </c>
      <c r="F1235" s="12">
        <v>2</v>
      </c>
      <c r="G1235" s="3" t="s">
        <v>0</v>
      </c>
      <c r="H1235" s="5">
        <v>42824</v>
      </c>
      <c r="I1235" s="49" t="s">
        <v>999</v>
      </c>
      <c r="J1235" s="4" t="s">
        <v>1962</v>
      </c>
      <c r="K1235" s="5" t="s">
        <v>988</v>
      </c>
      <c r="L1235" s="5" t="s">
        <v>871</v>
      </c>
      <c r="M1235" s="72">
        <f t="shared" si="238"/>
        <v>30808.62</v>
      </c>
      <c r="N1235" s="72">
        <f t="shared" si="245"/>
        <v>15404.31</v>
      </c>
      <c r="O1235" s="72">
        <v>30808.62</v>
      </c>
      <c r="P1235" s="72">
        <v>21630</v>
      </c>
      <c r="Q1235" s="256">
        <f t="shared" si="246"/>
        <v>4758.6000000000004</v>
      </c>
      <c r="R1235" s="256">
        <f t="shared" si="247"/>
        <v>26388.6</v>
      </c>
      <c r="S1235" s="296"/>
      <c r="T1235" s="3">
        <v>53</v>
      </c>
      <c r="U1235" s="293"/>
    </row>
    <row r="1236" spans="1:21" ht="15" customHeight="1" x14ac:dyDescent="0.35">
      <c r="A1236" s="218" t="s">
        <v>3551</v>
      </c>
      <c r="B1236" s="3">
        <v>1180</v>
      </c>
      <c r="C1236" s="45">
        <v>10142748</v>
      </c>
      <c r="D1236" s="2" t="s">
        <v>657</v>
      </c>
      <c r="E1236" s="18" t="s">
        <v>709</v>
      </c>
      <c r="F1236" s="12">
        <v>1</v>
      </c>
      <c r="G1236" s="3" t="s">
        <v>0</v>
      </c>
      <c r="H1236" s="5">
        <v>42004</v>
      </c>
      <c r="I1236" s="30" t="s">
        <v>1003</v>
      </c>
      <c r="J1236" s="4" t="s">
        <v>1962</v>
      </c>
      <c r="K1236" s="14" t="s">
        <v>554</v>
      </c>
      <c r="L1236" s="3" t="s">
        <v>871</v>
      </c>
      <c r="M1236" s="72">
        <f t="shared" si="238"/>
        <v>23044</v>
      </c>
      <c r="N1236" s="72">
        <f t="shared" si="245"/>
        <v>23044</v>
      </c>
      <c r="O1236" s="72">
        <v>23044</v>
      </c>
      <c r="P1236" s="72">
        <v>18090</v>
      </c>
      <c r="Q1236" s="256">
        <f t="shared" si="246"/>
        <v>3979.8</v>
      </c>
      <c r="R1236" s="256">
        <f t="shared" si="247"/>
        <v>22069.8</v>
      </c>
      <c r="S1236" s="296"/>
      <c r="T1236" s="3">
        <v>53</v>
      </c>
      <c r="U1236" s="293"/>
    </row>
    <row r="1237" spans="1:21" ht="15" customHeight="1" x14ac:dyDescent="0.35">
      <c r="A1237" s="218" t="s">
        <v>3552</v>
      </c>
      <c r="B1237" s="3">
        <v>1181</v>
      </c>
      <c r="C1237" s="45">
        <v>10057116</v>
      </c>
      <c r="D1237" s="2" t="s">
        <v>619</v>
      </c>
      <c r="E1237" s="18" t="s">
        <v>2236</v>
      </c>
      <c r="F1237" s="7">
        <v>2</v>
      </c>
      <c r="G1237" s="3" t="s">
        <v>0</v>
      </c>
      <c r="H1237" s="5">
        <v>42004</v>
      </c>
      <c r="I1237" s="30" t="s">
        <v>1003</v>
      </c>
      <c r="J1237" s="4" t="s">
        <v>1962</v>
      </c>
      <c r="K1237" s="14" t="s">
        <v>773</v>
      </c>
      <c r="L1237" s="3" t="s">
        <v>871</v>
      </c>
      <c r="M1237" s="72">
        <f t="shared" si="238"/>
        <v>1510.6</v>
      </c>
      <c r="N1237" s="72">
        <f t="shared" si="245"/>
        <v>755.3</v>
      </c>
      <c r="O1237" s="72">
        <v>1510.6</v>
      </c>
      <c r="P1237" s="72">
        <v>1190</v>
      </c>
      <c r="Q1237" s="256">
        <f t="shared" si="246"/>
        <v>261.8</v>
      </c>
      <c r="R1237" s="256">
        <f t="shared" si="247"/>
        <v>1451.8</v>
      </c>
      <c r="S1237" s="296"/>
      <c r="T1237" s="3">
        <v>53</v>
      </c>
      <c r="U1237" s="293"/>
    </row>
    <row r="1238" spans="1:21" ht="19.5" customHeight="1" x14ac:dyDescent="0.35">
      <c r="A1238" s="218" t="s">
        <v>3553</v>
      </c>
      <c r="B1238" s="3">
        <v>1182</v>
      </c>
      <c r="C1238" s="45">
        <v>102001198</v>
      </c>
      <c r="D1238" s="15" t="s">
        <v>658</v>
      </c>
      <c r="E1238" s="18" t="s">
        <v>2236</v>
      </c>
      <c r="F1238" s="12">
        <v>1</v>
      </c>
      <c r="G1238" s="3" t="s">
        <v>0</v>
      </c>
      <c r="H1238" s="5">
        <v>42004</v>
      </c>
      <c r="I1238" s="30" t="s">
        <v>1003</v>
      </c>
      <c r="J1238" s="4" t="s">
        <v>1962</v>
      </c>
      <c r="K1238" s="14" t="s">
        <v>792</v>
      </c>
      <c r="L1238" s="3" t="s">
        <v>871</v>
      </c>
      <c r="M1238" s="72">
        <f t="shared" si="238"/>
        <v>127044.24</v>
      </c>
      <c r="N1238" s="72">
        <f t="shared" si="245"/>
        <v>127044.24</v>
      </c>
      <c r="O1238" s="72">
        <v>127044.24</v>
      </c>
      <c r="P1238" s="72">
        <v>99740</v>
      </c>
      <c r="Q1238" s="256">
        <f t="shared" si="246"/>
        <v>21942.799999999999</v>
      </c>
      <c r="R1238" s="256">
        <f t="shared" si="247"/>
        <v>121682.8</v>
      </c>
      <c r="S1238" s="296"/>
      <c r="T1238" s="3">
        <v>53</v>
      </c>
      <c r="U1238" s="293"/>
    </row>
    <row r="1239" spans="1:21" ht="15" customHeight="1" x14ac:dyDescent="0.35">
      <c r="A1239" s="218" t="s">
        <v>3554</v>
      </c>
      <c r="B1239" s="3">
        <v>1183</v>
      </c>
      <c r="C1239" s="45">
        <v>102000971</v>
      </c>
      <c r="D1239" s="15" t="s">
        <v>659</v>
      </c>
      <c r="E1239" s="18" t="s">
        <v>2236</v>
      </c>
      <c r="F1239" s="7">
        <f>2-1</f>
        <v>1</v>
      </c>
      <c r="G1239" s="3" t="s">
        <v>0</v>
      </c>
      <c r="H1239" s="5">
        <v>42004</v>
      </c>
      <c r="I1239" s="30" t="s">
        <v>1003</v>
      </c>
      <c r="J1239" s="4" t="s">
        <v>1962</v>
      </c>
      <c r="K1239" s="14" t="s">
        <v>793</v>
      </c>
      <c r="L1239" s="3" t="s">
        <v>871</v>
      </c>
      <c r="M1239" s="72">
        <f t="shared" si="238"/>
        <v>35622.15</v>
      </c>
      <c r="N1239" s="72">
        <f t="shared" si="245"/>
        <v>35622.15</v>
      </c>
      <c r="O1239" s="72">
        <f>71244.29/2*1</f>
        <v>35622.15</v>
      </c>
      <c r="P1239" s="72">
        <v>27970</v>
      </c>
      <c r="Q1239" s="256">
        <f t="shared" si="246"/>
        <v>6153.4</v>
      </c>
      <c r="R1239" s="256">
        <f t="shared" si="247"/>
        <v>34123.4</v>
      </c>
      <c r="S1239" s="296"/>
      <c r="T1239" s="3">
        <v>53</v>
      </c>
      <c r="U1239" s="293"/>
    </row>
    <row r="1240" spans="1:21" ht="15" customHeight="1" x14ac:dyDescent="0.35">
      <c r="A1240" s="218" t="s">
        <v>3555</v>
      </c>
      <c r="B1240" s="3">
        <v>1184</v>
      </c>
      <c r="C1240" s="45">
        <v>102000730</v>
      </c>
      <c r="D1240" s="15" t="s">
        <v>660</v>
      </c>
      <c r="E1240" s="18" t="s">
        <v>2236</v>
      </c>
      <c r="F1240" s="12">
        <v>1</v>
      </c>
      <c r="G1240" s="3" t="s">
        <v>0</v>
      </c>
      <c r="H1240" s="5">
        <v>42004</v>
      </c>
      <c r="I1240" s="30" t="s">
        <v>1003</v>
      </c>
      <c r="J1240" s="4" t="s">
        <v>1962</v>
      </c>
      <c r="K1240" s="14" t="s">
        <v>794</v>
      </c>
      <c r="L1240" s="3" t="s">
        <v>871</v>
      </c>
      <c r="M1240" s="72">
        <f t="shared" si="238"/>
        <v>72869.070000000007</v>
      </c>
      <c r="N1240" s="72">
        <f t="shared" si="245"/>
        <v>72869.070000000007</v>
      </c>
      <c r="O1240" s="72">
        <v>72869.070000000007</v>
      </c>
      <c r="P1240" s="72">
        <v>57210</v>
      </c>
      <c r="Q1240" s="256">
        <f t="shared" si="246"/>
        <v>12586.2</v>
      </c>
      <c r="R1240" s="256">
        <f t="shared" si="247"/>
        <v>69796.2</v>
      </c>
      <c r="S1240" s="296"/>
      <c r="T1240" s="3">
        <v>53</v>
      </c>
      <c r="U1240" s="293"/>
    </row>
    <row r="1241" spans="1:21" ht="15" customHeight="1" x14ac:dyDescent="0.35">
      <c r="A1241" s="218" t="s">
        <v>3556</v>
      </c>
      <c r="B1241" s="3">
        <v>1185</v>
      </c>
      <c r="C1241" s="45">
        <v>102001243</v>
      </c>
      <c r="D1241" s="15" t="s">
        <v>661</v>
      </c>
      <c r="E1241" s="18" t="s">
        <v>2236</v>
      </c>
      <c r="F1241" s="12">
        <v>1</v>
      </c>
      <c r="G1241" s="3" t="s">
        <v>0</v>
      </c>
      <c r="H1241" s="5">
        <v>42004</v>
      </c>
      <c r="I1241" s="30" t="s">
        <v>1003</v>
      </c>
      <c r="J1241" s="4" t="s">
        <v>1962</v>
      </c>
      <c r="K1241" s="14" t="s">
        <v>795</v>
      </c>
      <c r="L1241" s="3" t="s">
        <v>871</v>
      </c>
      <c r="M1241" s="72">
        <f t="shared" si="238"/>
        <v>102234.75</v>
      </c>
      <c r="N1241" s="72">
        <f t="shared" si="245"/>
        <v>102234.75</v>
      </c>
      <c r="O1241" s="72">
        <v>102234.75</v>
      </c>
      <c r="P1241" s="72">
        <v>80260</v>
      </c>
      <c r="Q1241" s="256">
        <f t="shared" si="246"/>
        <v>17657.2</v>
      </c>
      <c r="R1241" s="256">
        <f t="shared" si="247"/>
        <v>97917.2</v>
      </c>
      <c r="S1241" s="296"/>
      <c r="T1241" s="3">
        <v>53</v>
      </c>
      <c r="U1241" s="293"/>
    </row>
    <row r="1242" spans="1:21" ht="15" customHeight="1" x14ac:dyDescent="0.35">
      <c r="A1242" s="218" t="s">
        <v>3557</v>
      </c>
      <c r="B1242" s="3">
        <v>1186</v>
      </c>
      <c r="C1242" s="58">
        <v>102000809</v>
      </c>
      <c r="D1242" s="21" t="s">
        <v>952</v>
      </c>
      <c r="E1242" s="18" t="s">
        <v>2197</v>
      </c>
      <c r="F1242" s="7">
        <v>1</v>
      </c>
      <c r="G1242" s="3" t="s">
        <v>0</v>
      </c>
      <c r="H1242" s="50" t="s">
        <v>2195</v>
      </c>
      <c r="I1242" s="4" t="s">
        <v>999</v>
      </c>
      <c r="J1242" s="31" t="s">
        <v>987</v>
      </c>
      <c r="K1242" s="4" t="s">
        <v>988</v>
      </c>
      <c r="L1242" s="5" t="s">
        <v>871</v>
      </c>
      <c r="M1242" s="72">
        <f t="shared" si="238"/>
        <v>2230083.6800000002</v>
      </c>
      <c r="N1242" s="72">
        <f t="shared" si="245"/>
        <v>2230083.6800000002</v>
      </c>
      <c r="O1242" s="72">
        <v>2230083.6800000002</v>
      </c>
      <c r="P1242" s="72">
        <v>2344570</v>
      </c>
      <c r="Q1242" s="256">
        <f t="shared" si="246"/>
        <v>515805.4</v>
      </c>
      <c r="R1242" s="256">
        <f t="shared" si="247"/>
        <v>2860375.4</v>
      </c>
      <c r="S1242" s="296"/>
      <c r="T1242" s="3">
        <v>53</v>
      </c>
      <c r="U1242" s="293"/>
    </row>
    <row r="1243" spans="1:21" ht="15" customHeight="1" x14ac:dyDescent="0.35">
      <c r="A1243" s="218" t="s">
        <v>3558</v>
      </c>
      <c r="B1243" s="3">
        <v>1187</v>
      </c>
      <c r="C1243" s="58">
        <v>102001465</v>
      </c>
      <c r="D1243" s="21" t="s">
        <v>953</v>
      </c>
      <c r="E1243" s="18" t="s">
        <v>2197</v>
      </c>
      <c r="F1243" s="7">
        <v>1</v>
      </c>
      <c r="G1243" s="3" t="s">
        <v>0</v>
      </c>
      <c r="H1243" s="50" t="s">
        <v>2195</v>
      </c>
      <c r="I1243" s="4" t="s">
        <v>999</v>
      </c>
      <c r="J1243" s="31" t="s">
        <v>986</v>
      </c>
      <c r="K1243" s="4" t="s">
        <v>988</v>
      </c>
      <c r="L1243" s="5" t="s">
        <v>871</v>
      </c>
      <c r="M1243" s="72">
        <f t="shared" si="238"/>
        <v>997350</v>
      </c>
      <c r="N1243" s="72">
        <f t="shared" si="245"/>
        <v>997350</v>
      </c>
      <c r="O1243" s="72">
        <v>997350</v>
      </c>
      <c r="P1243" s="72">
        <v>1048550</v>
      </c>
      <c r="Q1243" s="256">
        <f t="shared" si="246"/>
        <v>230681</v>
      </c>
      <c r="R1243" s="256">
        <f t="shared" si="247"/>
        <v>1279231</v>
      </c>
      <c r="S1243" s="296"/>
      <c r="T1243" s="3">
        <v>53</v>
      </c>
      <c r="U1243" s="293"/>
    </row>
    <row r="1244" spans="1:21" ht="15" customHeight="1" x14ac:dyDescent="0.35">
      <c r="A1244" s="218" t="s">
        <v>3559</v>
      </c>
      <c r="B1244" s="3">
        <v>1188</v>
      </c>
      <c r="C1244" s="58">
        <v>102001127</v>
      </c>
      <c r="D1244" s="21" t="s">
        <v>954</v>
      </c>
      <c r="E1244" s="18" t="s">
        <v>2197</v>
      </c>
      <c r="F1244" s="7">
        <v>1</v>
      </c>
      <c r="G1244" s="3" t="s">
        <v>0</v>
      </c>
      <c r="H1244" s="50" t="s">
        <v>2195</v>
      </c>
      <c r="I1244" s="4" t="s">
        <v>999</v>
      </c>
      <c r="J1244" s="31" t="s">
        <v>986</v>
      </c>
      <c r="K1244" s="4" t="s">
        <v>988</v>
      </c>
      <c r="L1244" s="5" t="s">
        <v>871</v>
      </c>
      <c r="M1244" s="72">
        <f t="shared" si="238"/>
        <v>1739951.94</v>
      </c>
      <c r="N1244" s="72">
        <f t="shared" si="245"/>
        <v>1739951.94</v>
      </c>
      <c r="O1244" s="72">
        <v>1739951.94</v>
      </c>
      <c r="P1244" s="72">
        <v>1829270</v>
      </c>
      <c r="Q1244" s="256">
        <f t="shared" si="246"/>
        <v>402439.4</v>
      </c>
      <c r="R1244" s="256">
        <f t="shared" si="247"/>
        <v>2231709.4</v>
      </c>
      <c r="S1244" s="296"/>
      <c r="T1244" s="3">
        <v>53</v>
      </c>
      <c r="U1244" s="293"/>
    </row>
    <row r="1245" spans="1:21" ht="15" customHeight="1" x14ac:dyDescent="0.35">
      <c r="A1245" s="218" t="s">
        <v>3560</v>
      </c>
      <c r="B1245" s="3">
        <v>1189</v>
      </c>
      <c r="C1245" s="58">
        <v>102001077</v>
      </c>
      <c r="D1245" s="21" t="s">
        <v>955</v>
      </c>
      <c r="E1245" s="18" t="s">
        <v>2197</v>
      </c>
      <c r="F1245" s="7">
        <v>1</v>
      </c>
      <c r="G1245" s="3" t="s">
        <v>0</v>
      </c>
      <c r="H1245" s="50" t="s">
        <v>2195</v>
      </c>
      <c r="I1245" s="4" t="s">
        <v>999</v>
      </c>
      <c r="J1245" s="31" t="s">
        <v>986</v>
      </c>
      <c r="K1245" s="4" t="s">
        <v>988</v>
      </c>
      <c r="L1245" s="5" t="s">
        <v>871</v>
      </c>
      <c r="M1245" s="72">
        <f t="shared" si="238"/>
        <v>664463.63</v>
      </c>
      <c r="N1245" s="72">
        <f t="shared" si="245"/>
        <v>664463.63</v>
      </c>
      <c r="O1245" s="72">
        <v>664463.63</v>
      </c>
      <c r="P1245" s="72">
        <v>698570</v>
      </c>
      <c r="Q1245" s="256">
        <f t="shared" si="246"/>
        <v>153685.4</v>
      </c>
      <c r="R1245" s="256">
        <f t="shared" si="247"/>
        <v>852255.4</v>
      </c>
      <c r="S1245" s="296"/>
      <c r="T1245" s="3">
        <v>53</v>
      </c>
      <c r="U1245" s="293"/>
    </row>
    <row r="1246" spans="1:21" ht="15" customHeight="1" x14ac:dyDescent="0.35">
      <c r="A1246" s="218" t="s">
        <v>3561</v>
      </c>
      <c r="B1246" s="3">
        <v>1190</v>
      </c>
      <c r="C1246" s="58">
        <v>102001040</v>
      </c>
      <c r="D1246" s="21" t="s">
        <v>956</v>
      </c>
      <c r="E1246" s="18" t="s">
        <v>2197</v>
      </c>
      <c r="F1246" s="7">
        <v>1</v>
      </c>
      <c r="G1246" s="3" t="s">
        <v>0</v>
      </c>
      <c r="H1246" s="50" t="s">
        <v>2195</v>
      </c>
      <c r="I1246" s="4" t="s">
        <v>999</v>
      </c>
      <c r="J1246" s="31" t="s">
        <v>986</v>
      </c>
      <c r="K1246" s="4" t="s">
        <v>988</v>
      </c>
      <c r="L1246" s="5" t="s">
        <v>871</v>
      </c>
      <c r="M1246" s="72">
        <f t="shared" si="238"/>
        <v>752189.35</v>
      </c>
      <c r="N1246" s="72">
        <f t="shared" si="245"/>
        <v>752189.35</v>
      </c>
      <c r="O1246" s="72">
        <v>752189.35</v>
      </c>
      <c r="P1246" s="72">
        <v>790800</v>
      </c>
      <c r="Q1246" s="256">
        <f t="shared" si="246"/>
        <v>173976</v>
      </c>
      <c r="R1246" s="256">
        <f t="shared" si="247"/>
        <v>964776</v>
      </c>
      <c r="S1246" s="296"/>
      <c r="T1246" s="3">
        <v>53</v>
      </c>
      <c r="U1246" s="293"/>
    </row>
    <row r="1247" spans="1:21" ht="15" customHeight="1" x14ac:dyDescent="0.35">
      <c r="A1247" s="218" t="s">
        <v>3562</v>
      </c>
      <c r="B1247" s="3">
        <v>1191</v>
      </c>
      <c r="C1247" s="58">
        <v>102002140</v>
      </c>
      <c r="D1247" s="21" t="s">
        <v>957</v>
      </c>
      <c r="E1247" s="18" t="s">
        <v>2197</v>
      </c>
      <c r="F1247" s="7">
        <v>1</v>
      </c>
      <c r="G1247" s="3" t="s">
        <v>0</v>
      </c>
      <c r="H1247" s="50" t="s">
        <v>2195</v>
      </c>
      <c r="I1247" s="4" t="s">
        <v>999</v>
      </c>
      <c r="J1247" s="31" t="s">
        <v>986</v>
      </c>
      <c r="K1247" s="4" t="s">
        <v>988</v>
      </c>
      <c r="L1247" s="5" t="s">
        <v>871</v>
      </c>
      <c r="M1247" s="72">
        <f t="shared" si="238"/>
        <v>164459.89000000001</v>
      </c>
      <c r="N1247" s="72">
        <f t="shared" si="245"/>
        <v>164459.89000000001</v>
      </c>
      <c r="O1247" s="72">
        <v>164459.89000000001</v>
      </c>
      <c r="P1247" s="72">
        <v>172900</v>
      </c>
      <c r="Q1247" s="256">
        <f t="shared" si="246"/>
        <v>38038</v>
      </c>
      <c r="R1247" s="256">
        <f t="shared" si="247"/>
        <v>210938</v>
      </c>
      <c r="S1247" s="296"/>
      <c r="T1247" s="3">
        <v>53</v>
      </c>
      <c r="U1247" s="293"/>
    </row>
    <row r="1248" spans="1:21" ht="15" customHeight="1" x14ac:dyDescent="0.35">
      <c r="A1248" s="218" t="s">
        <v>3563</v>
      </c>
      <c r="B1248" s="3">
        <v>1192</v>
      </c>
      <c r="C1248" s="58">
        <v>102000997</v>
      </c>
      <c r="D1248" s="21" t="s">
        <v>958</v>
      </c>
      <c r="E1248" s="18" t="s">
        <v>2197</v>
      </c>
      <c r="F1248" s="7">
        <v>1</v>
      </c>
      <c r="G1248" s="3" t="s">
        <v>0</v>
      </c>
      <c r="H1248" s="50" t="s">
        <v>2195</v>
      </c>
      <c r="I1248" s="4" t="s">
        <v>999</v>
      </c>
      <c r="J1248" s="31" t="s">
        <v>986</v>
      </c>
      <c r="K1248" s="4" t="s">
        <v>988</v>
      </c>
      <c r="L1248" s="5" t="s">
        <v>871</v>
      </c>
      <c r="M1248" s="72">
        <f t="shared" si="238"/>
        <v>5393235.7599999998</v>
      </c>
      <c r="N1248" s="72">
        <f t="shared" si="245"/>
        <v>5393235.7599999998</v>
      </c>
      <c r="O1248" s="72">
        <v>5393235.7599999998</v>
      </c>
      <c r="P1248" s="72">
        <v>5670100</v>
      </c>
      <c r="Q1248" s="256">
        <f t="shared" si="246"/>
        <v>1247422</v>
      </c>
      <c r="R1248" s="256">
        <f t="shared" si="247"/>
        <v>6917522</v>
      </c>
      <c r="S1248" s="296"/>
      <c r="T1248" s="3">
        <v>53</v>
      </c>
      <c r="U1248" s="293"/>
    </row>
    <row r="1249" spans="1:21" ht="23.25" customHeight="1" x14ac:dyDescent="0.35">
      <c r="A1249" s="218" t="s">
        <v>3564</v>
      </c>
      <c r="B1249" s="3">
        <v>1193</v>
      </c>
      <c r="C1249" s="44">
        <v>102001095</v>
      </c>
      <c r="D1249" s="18" t="s">
        <v>1285</v>
      </c>
      <c r="E1249" s="18" t="s">
        <v>2213</v>
      </c>
      <c r="F1249" s="12">
        <v>1</v>
      </c>
      <c r="G1249" s="3" t="s">
        <v>0</v>
      </c>
      <c r="H1249" s="5">
        <v>42004</v>
      </c>
      <c r="I1249" s="5" t="s">
        <v>2209</v>
      </c>
      <c r="J1249" s="4" t="s">
        <v>1962</v>
      </c>
      <c r="K1249" s="62" t="s">
        <v>1332</v>
      </c>
      <c r="L1249" s="6" t="s">
        <v>871</v>
      </c>
      <c r="M1249" s="81">
        <f t="shared" si="238"/>
        <v>39631.49</v>
      </c>
      <c r="N1249" s="81">
        <f t="shared" si="245"/>
        <v>39631.49</v>
      </c>
      <c r="O1249" s="81">
        <v>39631.49</v>
      </c>
      <c r="P1249" s="72">
        <v>31110</v>
      </c>
      <c r="Q1249" s="256">
        <f t="shared" si="246"/>
        <v>6844.2</v>
      </c>
      <c r="R1249" s="256">
        <f t="shared" si="247"/>
        <v>37954.199999999997</v>
      </c>
      <c r="S1249" s="296"/>
      <c r="T1249" s="3">
        <v>53</v>
      </c>
      <c r="U1249" s="293"/>
    </row>
    <row r="1250" spans="1:21" ht="15" customHeight="1" x14ac:dyDescent="0.35">
      <c r="A1250" s="218" t="s">
        <v>3565</v>
      </c>
      <c r="B1250" s="3">
        <v>1194</v>
      </c>
      <c r="C1250" s="44">
        <v>10024451</v>
      </c>
      <c r="D1250" s="18" t="s">
        <v>1319</v>
      </c>
      <c r="E1250" s="18" t="s">
        <v>2218</v>
      </c>
      <c r="F1250" s="12">
        <v>1</v>
      </c>
      <c r="G1250" s="3" t="s">
        <v>0</v>
      </c>
      <c r="H1250" s="5">
        <v>42004</v>
      </c>
      <c r="I1250" s="5" t="s">
        <v>2209</v>
      </c>
      <c r="J1250" s="4" t="s">
        <v>1962</v>
      </c>
      <c r="K1250" s="49" t="s">
        <v>988</v>
      </c>
      <c r="L1250" s="6" t="s">
        <v>871</v>
      </c>
      <c r="M1250" s="81">
        <f t="shared" si="238"/>
        <v>16670.84</v>
      </c>
      <c r="N1250" s="81">
        <f t="shared" si="245"/>
        <v>16670.84</v>
      </c>
      <c r="O1250" s="81">
        <v>16670.84</v>
      </c>
      <c r="P1250" s="72">
        <v>10880</v>
      </c>
      <c r="Q1250" s="256">
        <f t="shared" si="246"/>
        <v>2393.6</v>
      </c>
      <c r="R1250" s="256">
        <f t="shared" si="247"/>
        <v>13273.6</v>
      </c>
      <c r="S1250" s="296"/>
      <c r="T1250" s="3">
        <v>53</v>
      </c>
      <c r="U1250" s="293"/>
    </row>
    <row r="1251" spans="1:21" ht="15" customHeight="1" x14ac:dyDescent="0.35">
      <c r="A1251" s="218" t="s">
        <v>3566</v>
      </c>
      <c r="B1251" s="3">
        <v>1195</v>
      </c>
      <c r="C1251" s="66">
        <v>10097455</v>
      </c>
      <c r="D1251" s="24" t="s">
        <v>1352</v>
      </c>
      <c r="E1251" s="24" t="s">
        <v>2224</v>
      </c>
      <c r="F1251" s="93">
        <v>2</v>
      </c>
      <c r="G1251" s="3" t="s">
        <v>0</v>
      </c>
      <c r="H1251" s="25" t="s">
        <v>517</v>
      </c>
      <c r="I1251" s="26" t="s">
        <v>1360</v>
      </c>
      <c r="J1251" s="4" t="s">
        <v>1962</v>
      </c>
      <c r="K1251" s="4" t="s">
        <v>988</v>
      </c>
      <c r="L1251" s="29" t="s">
        <v>977</v>
      </c>
      <c r="M1251" s="78">
        <f t="shared" si="238"/>
        <v>1530.5</v>
      </c>
      <c r="N1251" s="78">
        <f t="shared" si="245"/>
        <v>765.25</v>
      </c>
      <c r="O1251" s="78">
        <v>1530.5</v>
      </c>
      <c r="P1251" s="72">
        <v>1700</v>
      </c>
      <c r="Q1251" s="256">
        <f t="shared" si="246"/>
        <v>374</v>
      </c>
      <c r="R1251" s="256">
        <f t="shared" si="247"/>
        <v>2074</v>
      </c>
      <c r="S1251" s="296"/>
      <c r="T1251" s="3">
        <v>53</v>
      </c>
      <c r="U1251" s="293"/>
    </row>
    <row r="1252" spans="1:21" ht="15" customHeight="1" x14ac:dyDescent="0.35">
      <c r="A1252" s="218" t="s">
        <v>3567</v>
      </c>
      <c r="B1252" s="3">
        <v>1196</v>
      </c>
      <c r="C1252" s="44">
        <v>10099974</v>
      </c>
      <c r="D1252" s="18" t="s">
        <v>535</v>
      </c>
      <c r="E1252" s="18" t="s">
        <v>2027</v>
      </c>
      <c r="F1252" s="12">
        <v>48</v>
      </c>
      <c r="G1252" s="12" t="s">
        <v>0</v>
      </c>
      <c r="H1252" s="5">
        <v>41181</v>
      </c>
      <c r="I1252" s="27" t="s">
        <v>984</v>
      </c>
      <c r="J1252" s="4" t="s">
        <v>980</v>
      </c>
      <c r="K1252" s="4" t="s">
        <v>988</v>
      </c>
      <c r="L1252" s="4" t="s">
        <v>977</v>
      </c>
      <c r="M1252" s="81">
        <f t="shared" si="238"/>
        <v>17772.38</v>
      </c>
      <c r="N1252" s="81">
        <f t="shared" si="245"/>
        <v>370.26</v>
      </c>
      <c r="O1252" s="81">
        <v>17772.38</v>
      </c>
      <c r="P1252" s="72">
        <v>22380</v>
      </c>
      <c r="Q1252" s="256">
        <f t="shared" si="246"/>
        <v>4923.6000000000004</v>
      </c>
      <c r="R1252" s="256">
        <f t="shared" si="247"/>
        <v>27303.599999999999</v>
      </c>
      <c r="S1252" s="296"/>
      <c r="T1252" s="3">
        <v>53</v>
      </c>
      <c r="U1252" s="293"/>
    </row>
    <row r="1253" spans="1:21" ht="15" customHeight="1" x14ac:dyDescent="0.35">
      <c r="A1253" s="218" t="s">
        <v>3568</v>
      </c>
      <c r="B1253" s="3">
        <v>1197</v>
      </c>
      <c r="C1253" s="44">
        <v>10133603</v>
      </c>
      <c r="D1253" s="18" t="s">
        <v>537</v>
      </c>
      <c r="E1253" s="18" t="s">
        <v>2027</v>
      </c>
      <c r="F1253" s="12">
        <v>2</v>
      </c>
      <c r="G1253" s="12" t="s">
        <v>0</v>
      </c>
      <c r="H1253" s="5">
        <v>41052</v>
      </c>
      <c r="I1253" s="27" t="s">
        <v>984</v>
      </c>
      <c r="J1253" s="4" t="s">
        <v>1962</v>
      </c>
      <c r="K1253" s="4" t="s">
        <v>988</v>
      </c>
      <c r="L1253" s="4" t="s">
        <v>977</v>
      </c>
      <c r="M1253" s="81">
        <f t="shared" si="238"/>
        <v>283.89999999999998</v>
      </c>
      <c r="N1253" s="81">
        <f t="shared" si="245"/>
        <v>141.94999999999999</v>
      </c>
      <c r="O1253" s="81">
        <v>283.89999999999998</v>
      </c>
      <c r="P1253" s="72">
        <v>370</v>
      </c>
      <c r="Q1253" s="256">
        <f t="shared" si="246"/>
        <v>81.400000000000006</v>
      </c>
      <c r="R1253" s="256">
        <f t="shared" si="247"/>
        <v>451.4</v>
      </c>
      <c r="S1253" s="296"/>
      <c r="T1253" s="3">
        <v>53</v>
      </c>
      <c r="U1253" s="293"/>
    </row>
    <row r="1254" spans="1:21" ht="15" customHeight="1" x14ac:dyDescent="0.35">
      <c r="A1254" s="218" t="s">
        <v>3569</v>
      </c>
      <c r="B1254" s="3">
        <v>1198</v>
      </c>
      <c r="C1254" s="44">
        <v>10006632</v>
      </c>
      <c r="D1254" s="18" t="s">
        <v>1556</v>
      </c>
      <c r="E1254" s="18" t="s">
        <v>2027</v>
      </c>
      <c r="F1254" s="12">
        <v>1</v>
      </c>
      <c r="G1254" s="3" t="s">
        <v>0</v>
      </c>
      <c r="H1254" s="39">
        <v>42005</v>
      </c>
      <c r="I1254" s="27" t="s">
        <v>984</v>
      </c>
      <c r="J1254" s="4" t="s">
        <v>2259</v>
      </c>
      <c r="K1254" s="4" t="s">
        <v>988</v>
      </c>
      <c r="L1254" s="29" t="s">
        <v>977</v>
      </c>
      <c r="M1254" s="78">
        <f t="shared" si="238"/>
        <v>5226.62</v>
      </c>
      <c r="N1254" s="78">
        <f t="shared" si="245"/>
        <v>5226.62</v>
      </c>
      <c r="O1254" s="78">
        <v>5226.62</v>
      </c>
      <c r="P1254" s="72">
        <v>2340</v>
      </c>
      <c r="Q1254" s="256">
        <f t="shared" si="246"/>
        <v>514.79999999999995</v>
      </c>
      <c r="R1254" s="256">
        <f t="shared" si="247"/>
        <v>2854.8</v>
      </c>
      <c r="S1254" s="296"/>
      <c r="T1254" s="3">
        <v>53</v>
      </c>
      <c r="U1254" s="293"/>
    </row>
    <row r="1255" spans="1:21" ht="15" customHeight="1" x14ac:dyDescent="0.35">
      <c r="A1255" s="218" t="s">
        <v>3570</v>
      </c>
      <c r="B1255" s="3">
        <v>1199</v>
      </c>
      <c r="C1255" s="44">
        <v>10107865</v>
      </c>
      <c r="D1255" s="18" t="s">
        <v>1580</v>
      </c>
      <c r="E1255" s="18" t="s">
        <v>2027</v>
      </c>
      <c r="F1255" s="12">
        <v>1</v>
      </c>
      <c r="G1255" s="3" t="s">
        <v>0</v>
      </c>
      <c r="H1255" s="39">
        <v>41542</v>
      </c>
      <c r="I1255" s="27" t="s">
        <v>984</v>
      </c>
      <c r="J1255" s="4" t="s">
        <v>1962</v>
      </c>
      <c r="K1255" s="4" t="s">
        <v>988</v>
      </c>
      <c r="L1255" s="29" t="s">
        <v>977</v>
      </c>
      <c r="M1255" s="78">
        <f t="shared" si="238"/>
        <v>1580.58</v>
      </c>
      <c r="N1255" s="78">
        <f t="shared" si="245"/>
        <v>1580.58</v>
      </c>
      <c r="O1255" s="78">
        <v>1580.58</v>
      </c>
      <c r="P1255" s="72">
        <v>2080</v>
      </c>
      <c r="Q1255" s="256">
        <f t="shared" si="246"/>
        <v>457.6</v>
      </c>
      <c r="R1255" s="256">
        <f t="shared" si="247"/>
        <v>2537.6</v>
      </c>
      <c r="S1255" s="296"/>
      <c r="T1255" s="3">
        <v>53</v>
      </c>
      <c r="U1255" s="293"/>
    </row>
    <row r="1256" spans="1:21" ht="15" customHeight="1" x14ac:dyDescent="0.35">
      <c r="A1256" s="218" t="s">
        <v>3571</v>
      </c>
      <c r="B1256" s="3">
        <v>1200</v>
      </c>
      <c r="C1256" s="44">
        <v>10128509</v>
      </c>
      <c r="D1256" s="18" t="s">
        <v>1586</v>
      </c>
      <c r="E1256" s="18" t="s">
        <v>2027</v>
      </c>
      <c r="F1256" s="12">
        <v>4</v>
      </c>
      <c r="G1256" s="3" t="s">
        <v>0</v>
      </c>
      <c r="H1256" s="39">
        <v>41431</v>
      </c>
      <c r="I1256" s="27" t="s">
        <v>984</v>
      </c>
      <c r="J1256" s="4" t="s">
        <v>1962</v>
      </c>
      <c r="K1256" s="4" t="s">
        <v>988</v>
      </c>
      <c r="L1256" s="29" t="s">
        <v>977</v>
      </c>
      <c r="M1256" s="78">
        <f t="shared" si="238"/>
        <v>13808.2</v>
      </c>
      <c r="N1256" s="78">
        <f t="shared" si="245"/>
        <v>3452.05</v>
      </c>
      <c r="O1256" s="78">
        <v>13808.2</v>
      </c>
      <c r="P1256" s="72">
        <v>17700</v>
      </c>
      <c r="Q1256" s="256">
        <f t="shared" si="246"/>
        <v>3894</v>
      </c>
      <c r="R1256" s="256">
        <f t="shared" si="247"/>
        <v>21594</v>
      </c>
      <c r="S1256" s="296"/>
      <c r="T1256" s="3">
        <v>53</v>
      </c>
      <c r="U1256" s="293"/>
    </row>
    <row r="1257" spans="1:21" ht="15" customHeight="1" x14ac:dyDescent="0.35">
      <c r="A1257" s="218" t="s">
        <v>3572</v>
      </c>
      <c r="B1257" s="3">
        <v>1201</v>
      </c>
      <c r="C1257" s="44">
        <v>10128449</v>
      </c>
      <c r="D1257" s="18" t="s">
        <v>1590</v>
      </c>
      <c r="E1257" s="18" t="s">
        <v>2027</v>
      </c>
      <c r="F1257" s="12">
        <v>6</v>
      </c>
      <c r="G1257" s="3" t="s">
        <v>0</v>
      </c>
      <c r="H1257" s="39">
        <v>40544</v>
      </c>
      <c r="I1257" s="27" t="s">
        <v>984</v>
      </c>
      <c r="J1257" s="4" t="s">
        <v>1962</v>
      </c>
      <c r="K1257" s="4" t="s">
        <v>988</v>
      </c>
      <c r="L1257" s="29" t="s">
        <v>977</v>
      </c>
      <c r="M1257" s="78">
        <f t="shared" ref="M1257:M1308" si="248">O1257</f>
        <v>5842.2</v>
      </c>
      <c r="N1257" s="78">
        <f t="shared" si="245"/>
        <v>973.7</v>
      </c>
      <c r="O1257" s="78">
        <v>5842.2</v>
      </c>
      <c r="P1257" s="72">
        <v>7690</v>
      </c>
      <c r="Q1257" s="256">
        <f t="shared" si="246"/>
        <v>1691.8</v>
      </c>
      <c r="R1257" s="256">
        <f t="shared" si="247"/>
        <v>9381.7999999999993</v>
      </c>
      <c r="S1257" s="296"/>
      <c r="T1257" s="3">
        <v>53</v>
      </c>
      <c r="U1257" s="293"/>
    </row>
    <row r="1258" spans="1:21" ht="15" customHeight="1" x14ac:dyDescent="0.35">
      <c r="A1258" s="218" t="s">
        <v>3573</v>
      </c>
      <c r="B1258" s="3">
        <v>1202</v>
      </c>
      <c r="C1258" s="44">
        <v>10119168</v>
      </c>
      <c r="D1258" s="18" t="s">
        <v>1599</v>
      </c>
      <c r="E1258" s="18" t="s">
        <v>2027</v>
      </c>
      <c r="F1258" s="12">
        <v>4</v>
      </c>
      <c r="G1258" s="3" t="s">
        <v>0</v>
      </c>
      <c r="H1258" s="39">
        <v>41431</v>
      </c>
      <c r="I1258" s="27" t="s">
        <v>984</v>
      </c>
      <c r="J1258" s="4" t="s">
        <v>1962</v>
      </c>
      <c r="K1258" s="4" t="s">
        <v>988</v>
      </c>
      <c r="L1258" s="29" t="s">
        <v>977</v>
      </c>
      <c r="M1258" s="78">
        <f t="shared" si="248"/>
        <v>8949.16</v>
      </c>
      <c r="N1258" s="78">
        <f t="shared" ref="N1258:N1280" si="249">O1258/F1258</f>
        <v>2237.29</v>
      </c>
      <c r="O1258" s="78">
        <v>8949.16</v>
      </c>
      <c r="P1258" s="72">
        <v>11890</v>
      </c>
      <c r="Q1258" s="256">
        <f t="shared" ref="Q1258:Q1280" si="250">R1258-P1258</f>
        <v>2615.8000000000002</v>
      </c>
      <c r="R1258" s="256">
        <f t="shared" ref="R1258:R1280" si="251">P1258*1.22</f>
        <v>14505.8</v>
      </c>
      <c r="S1258" s="296"/>
      <c r="T1258" s="3">
        <v>53</v>
      </c>
      <c r="U1258" s="293"/>
    </row>
    <row r="1259" spans="1:21" ht="15.75" customHeight="1" x14ac:dyDescent="0.35">
      <c r="A1259" s="218" t="s">
        <v>3574</v>
      </c>
      <c r="B1259" s="3">
        <v>1203</v>
      </c>
      <c r="C1259" s="44">
        <v>10043050</v>
      </c>
      <c r="D1259" s="18" t="s">
        <v>1601</v>
      </c>
      <c r="E1259" s="18" t="s">
        <v>2027</v>
      </c>
      <c r="F1259" s="12">
        <v>90</v>
      </c>
      <c r="G1259" s="3" t="s">
        <v>0</v>
      </c>
      <c r="H1259" s="39">
        <v>38353</v>
      </c>
      <c r="I1259" s="27" t="s">
        <v>984</v>
      </c>
      <c r="J1259" s="4" t="s">
        <v>1962</v>
      </c>
      <c r="K1259" s="4" t="s">
        <v>988</v>
      </c>
      <c r="L1259" s="29" t="s">
        <v>977</v>
      </c>
      <c r="M1259" s="85">
        <f t="shared" si="248"/>
        <v>15223.13</v>
      </c>
      <c r="N1259" s="85">
        <f t="shared" si="249"/>
        <v>169.15</v>
      </c>
      <c r="O1259" s="78">
        <v>15223.13</v>
      </c>
      <c r="P1259" s="72">
        <v>27950</v>
      </c>
      <c r="Q1259" s="256">
        <f t="shared" si="250"/>
        <v>6149</v>
      </c>
      <c r="R1259" s="256">
        <f t="shared" si="251"/>
        <v>34099</v>
      </c>
      <c r="S1259" s="296"/>
      <c r="T1259" s="3">
        <v>53</v>
      </c>
      <c r="U1259" s="293"/>
    </row>
    <row r="1260" spans="1:21" ht="19.5" customHeight="1" x14ac:dyDescent="0.35">
      <c r="A1260" s="218" t="s">
        <v>3575</v>
      </c>
      <c r="B1260" s="3">
        <v>1204</v>
      </c>
      <c r="C1260" s="44">
        <v>10088495</v>
      </c>
      <c r="D1260" s="18" t="s">
        <v>1624</v>
      </c>
      <c r="E1260" s="18" t="s">
        <v>2027</v>
      </c>
      <c r="F1260" s="12">
        <v>40</v>
      </c>
      <c r="G1260" s="3" t="s">
        <v>0</v>
      </c>
      <c r="H1260" s="39">
        <v>41431</v>
      </c>
      <c r="I1260" s="27" t="s">
        <v>984</v>
      </c>
      <c r="J1260" s="4" t="s">
        <v>1962</v>
      </c>
      <c r="K1260" s="4" t="s">
        <v>988</v>
      </c>
      <c r="L1260" s="29" t="s">
        <v>977</v>
      </c>
      <c r="M1260" s="78">
        <f t="shared" si="248"/>
        <v>352.8</v>
      </c>
      <c r="N1260" s="78">
        <f t="shared" si="249"/>
        <v>8.82</v>
      </c>
      <c r="O1260" s="78">
        <v>352.8</v>
      </c>
      <c r="P1260" s="72">
        <v>440</v>
      </c>
      <c r="Q1260" s="256">
        <f t="shared" si="250"/>
        <v>96.8</v>
      </c>
      <c r="R1260" s="256">
        <f t="shared" si="251"/>
        <v>536.79999999999995</v>
      </c>
      <c r="S1260" s="296"/>
      <c r="T1260" s="3">
        <v>53</v>
      </c>
      <c r="U1260" s="293"/>
    </row>
    <row r="1261" spans="1:21" ht="15" customHeight="1" x14ac:dyDescent="0.35">
      <c r="A1261" s="218" t="s">
        <v>3576</v>
      </c>
      <c r="B1261" s="3">
        <v>1205</v>
      </c>
      <c r="C1261" s="44">
        <v>10128455</v>
      </c>
      <c r="D1261" s="18" t="s">
        <v>1651</v>
      </c>
      <c r="E1261" s="18" t="s">
        <v>2027</v>
      </c>
      <c r="F1261" s="12">
        <v>1</v>
      </c>
      <c r="G1261" s="3" t="s">
        <v>0</v>
      </c>
      <c r="H1261" s="39">
        <v>40990</v>
      </c>
      <c r="I1261" s="27" t="s">
        <v>984</v>
      </c>
      <c r="J1261" s="4" t="s">
        <v>1962</v>
      </c>
      <c r="K1261" s="4" t="s">
        <v>988</v>
      </c>
      <c r="L1261" s="29" t="s">
        <v>977</v>
      </c>
      <c r="M1261" s="78">
        <f t="shared" si="248"/>
        <v>6645</v>
      </c>
      <c r="N1261" s="78">
        <f t="shared" si="249"/>
        <v>6645</v>
      </c>
      <c r="O1261" s="78">
        <v>6645</v>
      </c>
      <c r="P1261" s="72">
        <v>9630</v>
      </c>
      <c r="Q1261" s="256">
        <f t="shared" si="250"/>
        <v>2118.6</v>
      </c>
      <c r="R1261" s="256">
        <f t="shared" si="251"/>
        <v>11748.6</v>
      </c>
      <c r="S1261" s="296"/>
      <c r="T1261" s="3">
        <v>53</v>
      </c>
      <c r="U1261" s="293"/>
    </row>
    <row r="1262" spans="1:21" ht="15" customHeight="1" x14ac:dyDescent="0.35">
      <c r="A1262" s="218" t="s">
        <v>3577</v>
      </c>
      <c r="B1262" s="3">
        <v>1206</v>
      </c>
      <c r="C1262" s="44">
        <v>10128474</v>
      </c>
      <c r="D1262" s="18" t="s">
        <v>1670</v>
      </c>
      <c r="E1262" s="18" t="s">
        <v>2027</v>
      </c>
      <c r="F1262" s="12">
        <v>1</v>
      </c>
      <c r="G1262" s="3" t="s">
        <v>0</v>
      </c>
      <c r="H1262" s="39">
        <v>41431</v>
      </c>
      <c r="I1262" s="27" t="s">
        <v>984</v>
      </c>
      <c r="J1262" s="4" t="s">
        <v>1962</v>
      </c>
      <c r="K1262" s="4" t="s">
        <v>988</v>
      </c>
      <c r="L1262" s="29" t="s">
        <v>977</v>
      </c>
      <c r="M1262" s="78">
        <f t="shared" si="248"/>
        <v>4946.2299999999996</v>
      </c>
      <c r="N1262" s="78">
        <f t="shared" si="249"/>
        <v>4946.2299999999996</v>
      </c>
      <c r="O1262" s="78">
        <v>4946.2299999999996</v>
      </c>
      <c r="P1262" s="72">
        <v>5810</v>
      </c>
      <c r="Q1262" s="256">
        <f t="shared" si="250"/>
        <v>1278.2</v>
      </c>
      <c r="R1262" s="256">
        <f t="shared" si="251"/>
        <v>7088.2</v>
      </c>
      <c r="S1262" s="296"/>
      <c r="T1262" s="3">
        <v>53</v>
      </c>
      <c r="U1262" s="293"/>
    </row>
    <row r="1263" spans="1:21" ht="15" customHeight="1" x14ac:dyDescent="0.35">
      <c r="A1263" s="218" t="s">
        <v>3578</v>
      </c>
      <c r="B1263" s="3">
        <v>1207</v>
      </c>
      <c r="C1263" s="44">
        <v>10133647</v>
      </c>
      <c r="D1263" s="18" t="s">
        <v>27</v>
      </c>
      <c r="E1263" s="18" t="s">
        <v>2027</v>
      </c>
      <c r="F1263" s="12">
        <v>1</v>
      </c>
      <c r="G1263" s="3" t="s">
        <v>0</v>
      </c>
      <c r="H1263" s="39">
        <v>41498</v>
      </c>
      <c r="I1263" s="27" t="s">
        <v>984</v>
      </c>
      <c r="J1263" s="4" t="s">
        <v>1962</v>
      </c>
      <c r="K1263" s="4" t="s">
        <v>988</v>
      </c>
      <c r="L1263" s="29" t="s">
        <v>977</v>
      </c>
      <c r="M1263" s="78">
        <f t="shared" si="248"/>
        <v>39069.089999999997</v>
      </c>
      <c r="N1263" s="78">
        <f t="shared" si="249"/>
        <v>39069.089999999997</v>
      </c>
      <c r="O1263" s="78">
        <v>39069.089999999997</v>
      </c>
      <c r="P1263" s="72">
        <v>46300</v>
      </c>
      <c r="Q1263" s="256">
        <f t="shared" si="250"/>
        <v>10186</v>
      </c>
      <c r="R1263" s="256">
        <f t="shared" si="251"/>
        <v>56486</v>
      </c>
      <c r="S1263" s="296"/>
      <c r="T1263" s="3">
        <v>53</v>
      </c>
      <c r="U1263" s="293"/>
    </row>
    <row r="1264" spans="1:21" ht="15" customHeight="1" x14ac:dyDescent="0.35">
      <c r="A1264" s="218" t="s">
        <v>3579</v>
      </c>
      <c r="B1264" s="3">
        <v>1208</v>
      </c>
      <c r="C1264" s="44">
        <v>10119230</v>
      </c>
      <c r="D1264" s="18" t="s">
        <v>1682</v>
      </c>
      <c r="E1264" s="18" t="s">
        <v>2027</v>
      </c>
      <c r="F1264" s="12">
        <v>22</v>
      </c>
      <c r="G1264" s="3" t="s">
        <v>0</v>
      </c>
      <c r="H1264" s="39">
        <v>41431</v>
      </c>
      <c r="I1264" s="27" t="s">
        <v>984</v>
      </c>
      <c r="J1264" s="4" t="s">
        <v>1962</v>
      </c>
      <c r="K1264" s="4" t="s">
        <v>988</v>
      </c>
      <c r="L1264" s="29" t="s">
        <v>977</v>
      </c>
      <c r="M1264" s="78">
        <f t="shared" si="248"/>
        <v>19505.310000000001</v>
      </c>
      <c r="N1264" s="78">
        <f t="shared" si="249"/>
        <v>886.61</v>
      </c>
      <c r="O1264" s="78">
        <v>19505.310000000001</v>
      </c>
      <c r="P1264" s="72">
        <v>22900</v>
      </c>
      <c r="Q1264" s="256">
        <f t="shared" si="250"/>
        <v>5038</v>
      </c>
      <c r="R1264" s="256">
        <f t="shared" si="251"/>
        <v>27938</v>
      </c>
      <c r="S1264" s="296"/>
      <c r="T1264" s="3">
        <v>53</v>
      </c>
      <c r="U1264" s="293"/>
    </row>
    <row r="1265" spans="1:21" ht="15" customHeight="1" x14ac:dyDescent="0.35">
      <c r="A1265" s="218" t="s">
        <v>3580</v>
      </c>
      <c r="B1265" s="3">
        <v>1209</v>
      </c>
      <c r="C1265" s="44">
        <v>10119231</v>
      </c>
      <c r="D1265" s="18" t="s">
        <v>1687</v>
      </c>
      <c r="E1265" s="18" t="s">
        <v>2027</v>
      </c>
      <c r="F1265" s="12">
        <v>1</v>
      </c>
      <c r="G1265" s="3" t="s">
        <v>0</v>
      </c>
      <c r="H1265" s="39">
        <v>41320</v>
      </c>
      <c r="I1265" s="27" t="s">
        <v>984</v>
      </c>
      <c r="J1265" s="4" t="s">
        <v>1962</v>
      </c>
      <c r="K1265" s="4" t="s">
        <v>988</v>
      </c>
      <c r="L1265" s="29" t="s">
        <v>977</v>
      </c>
      <c r="M1265" s="78">
        <f t="shared" si="248"/>
        <v>33361.01</v>
      </c>
      <c r="N1265" s="78">
        <f t="shared" si="249"/>
        <v>33361.01</v>
      </c>
      <c r="O1265" s="78">
        <v>33361.01</v>
      </c>
      <c r="P1265" s="72">
        <v>40820</v>
      </c>
      <c r="Q1265" s="256">
        <f t="shared" si="250"/>
        <v>8980.4</v>
      </c>
      <c r="R1265" s="256">
        <f t="shared" si="251"/>
        <v>49800.4</v>
      </c>
      <c r="S1265" s="296"/>
      <c r="T1265" s="3">
        <v>53</v>
      </c>
      <c r="U1265" s="293"/>
    </row>
    <row r="1266" spans="1:21" ht="15" customHeight="1" x14ac:dyDescent="0.35">
      <c r="A1266" s="218" t="s">
        <v>3581</v>
      </c>
      <c r="B1266" s="3">
        <v>1210</v>
      </c>
      <c r="C1266" s="44">
        <v>102001503</v>
      </c>
      <c r="D1266" s="18" t="s">
        <v>1728</v>
      </c>
      <c r="E1266" s="18" t="s">
        <v>2027</v>
      </c>
      <c r="F1266" s="12">
        <v>1</v>
      </c>
      <c r="G1266" s="3" t="s">
        <v>0</v>
      </c>
      <c r="H1266" s="3">
        <v>2015</v>
      </c>
      <c r="I1266" s="27" t="s">
        <v>984</v>
      </c>
      <c r="J1266" s="4" t="s">
        <v>1962</v>
      </c>
      <c r="K1266" s="4" t="s">
        <v>988</v>
      </c>
      <c r="L1266" s="29" t="s">
        <v>977</v>
      </c>
      <c r="M1266" s="78">
        <f t="shared" si="248"/>
        <v>70756.36</v>
      </c>
      <c r="N1266" s="78">
        <f t="shared" si="249"/>
        <v>70756.36</v>
      </c>
      <c r="O1266" s="78">
        <v>70756.36</v>
      </c>
      <c r="P1266" s="72">
        <v>29580</v>
      </c>
      <c r="Q1266" s="256">
        <f t="shared" si="250"/>
        <v>6507.6</v>
      </c>
      <c r="R1266" s="256">
        <f t="shared" si="251"/>
        <v>36087.599999999999</v>
      </c>
      <c r="S1266" s="296"/>
      <c r="T1266" s="3">
        <v>53</v>
      </c>
      <c r="U1266" s="293"/>
    </row>
    <row r="1267" spans="1:21" ht="15" customHeight="1" x14ac:dyDescent="0.35">
      <c r="A1267" s="218" t="s">
        <v>3582</v>
      </c>
      <c r="B1267" s="3">
        <v>1211</v>
      </c>
      <c r="C1267" s="44">
        <v>10110214</v>
      </c>
      <c r="D1267" s="18" t="s">
        <v>1764</v>
      </c>
      <c r="E1267" s="18" t="s">
        <v>2027</v>
      </c>
      <c r="F1267" s="12">
        <v>1</v>
      </c>
      <c r="G1267" s="3" t="s">
        <v>0</v>
      </c>
      <c r="H1267" s="39">
        <v>41516</v>
      </c>
      <c r="I1267" s="27" t="s">
        <v>984</v>
      </c>
      <c r="J1267" s="4" t="s">
        <v>1962</v>
      </c>
      <c r="K1267" s="4" t="s">
        <v>988</v>
      </c>
      <c r="L1267" s="29" t="s">
        <v>977</v>
      </c>
      <c r="M1267" s="78">
        <f t="shared" si="248"/>
        <v>10000.89</v>
      </c>
      <c r="N1267" s="78">
        <f t="shared" si="249"/>
        <v>10000.89</v>
      </c>
      <c r="O1267" s="78">
        <v>10000.89</v>
      </c>
      <c r="P1267" s="72">
        <v>12400</v>
      </c>
      <c r="Q1267" s="256">
        <f t="shared" si="250"/>
        <v>2728</v>
      </c>
      <c r="R1267" s="256">
        <f t="shared" si="251"/>
        <v>15128</v>
      </c>
      <c r="S1267" s="296"/>
      <c r="T1267" s="3">
        <v>53</v>
      </c>
      <c r="U1267" s="293"/>
    </row>
    <row r="1268" spans="1:21" ht="15" customHeight="1" x14ac:dyDescent="0.35">
      <c r="A1268" s="218" t="s">
        <v>3583</v>
      </c>
      <c r="B1268" s="3">
        <v>1212</v>
      </c>
      <c r="C1268" s="44">
        <v>102000719</v>
      </c>
      <c r="D1268" s="18" t="s">
        <v>1767</v>
      </c>
      <c r="E1268" s="18" t="s">
        <v>2027</v>
      </c>
      <c r="F1268" s="12">
        <v>1</v>
      </c>
      <c r="G1268" s="3" t="s">
        <v>0</v>
      </c>
      <c r="H1268" s="3">
        <v>2015</v>
      </c>
      <c r="I1268" s="27" t="s">
        <v>984</v>
      </c>
      <c r="J1268" s="4" t="s">
        <v>1962</v>
      </c>
      <c r="K1268" s="4" t="s">
        <v>988</v>
      </c>
      <c r="L1268" s="29" t="s">
        <v>977</v>
      </c>
      <c r="M1268" s="78">
        <f t="shared" si="248"/>
        <v>92419.49</v>
      </c>
      <c r="N1268" s="78">
        <f t="shared" si="249"/>
        <v>92419.49</v>
      </c>
      <c r="O1268" s="78">
        <v>92419.49</v>
      </c>
      <c r="P1268" s="72">
        <v>94180</v>
      </c>
      <c r="Q1268" s="256">
        <f t="shared" si="250"/>
        <v>20719.599999999999</v>
      </c>
      <c r="R1268" s="256">
        <f t="shared" si="251"/>
        <v>114899.6</v>
      </c>
      <c r="S1268" s="296"/>
      <c r="T1268" s="3">
        <v>53</v>
      </c>
      <c r="U1268" s="293"/>
    </row>
    <row r="1269" spans="1:21" ht="15" customHeight="1" x14ac:dyDescent="0.35">
      <c r="A1269" s="218" t="s">
        <v>3584</v>
      </c>
      <c r="B1269" s="3">
        <v>1213</v>
      </c>
      <c r="C1269" s="44">
        <v>10100188</v>
      </c>
      <c r="D1269" s="18" t="s">
        <v>1781</v>
      </c>
      <c r="E1269" s="18" t="s">
        <v>2027</v>
      </c>
      <c r="F1269" s="12">
        <v>5</v>
      </c>
      <c r="G1269" s="3" t="s">
        <v>0</v>
      </c>
      <c r="H1269" s="39">
        <v>40544</v>
      </c>
      <c r="I1269" s="27" t="s">
        <v>984</v>
      </c>
      <c r="J1269" s="4" t="s">
        <v>1962</v>
      </c>
      <c r="K1269" s="4" t="s">
        <v>988</v>
      </c>
      <c r="L1269" s="29" t="s">
        <v>977</v>
      </c>
      <c r="M1269" s="78">
        <f t="shared" si="248"/>
        <v>3375</v>
      </c>
      <c r="N1269" s="78">
        <f t="shared" si="249"/>
        <v>675</v>
      </c>
      <c r="O1269" s="78">
        <v>3375</v>
      </c>
      <c r="P1269" s="72">
        <v>4950</v>
      </c>
      <c r="Q1269" s="256">
        <f t="shared" si="250"/>
        <v>1089</v>
      </c>
      <c r="R1269" s="256">
        <f t="shared" si="251"/>
        <v>6039</v>
      </c>
      <c r="S1269" s="296"/>
      <c r="T1269" s="3">
        <v>53</v>
      </c>
      <c r="U1269" s="293"/>
    </row>
    <row r="1270" spans="1:21" ht="15" customHeight="1" x14ac:dyDescent="0.35">
      <c r="A1270" s="218" t="s">
        <v>3585</v>
      </c>
      <c r="B1270" s="3">
        <v>1214</v>
      </c>
      <c r="C1270" s="65">
        <v>102001670</v>
      </c>
      <c r="D1270" s="8" t="s">
        <v>1369</v>
      </c>
      <c r="E1270" s="19" t="s">
        <v>2219</v>
      </c>
      <c r="F1270" s="92">
        <v>1</v>
      </c>
      <c r="G1270" s="3" t="s">
        <v>0</v>
      </c>
      <c r="H1270" s="40">
        <v>41518</v>
      </c>
      <c r="I1270" s="27" t="s">
        <v>984</v>
      </c>
      <c r="J1270" s="4" t="s">
        <v>1962</v>
      </c>
      <c r="K1270" s="4" t="s">
        <v>988</v>
      </c>
      <c r="L1270" s="29" t="s">
        <v>977</v>
      </c>
      <c r="M1270" s="78">
        <f t="shared" si="248"/>
        <v>2083720.31</v>
      </c>
      <c r="N1270" s="78">
        <f t="shared" si="249"/>
        <v>2083720.31</v>
      </c>
      <c r="O1270" s="78">
        <v>2083720.31</v>
      </c>
      <c r="P1270" s="72">
        <v>2887070</v>
      </c>
      <c r="Q1270" s="256">
        <f t="shared" si="250"/>
        <v>635155.4</v>
      </c>
      <c r="R1270" s="256">
        <f t="shared" si="251"/>
        <v>3522225.4</v>
      </c>
      <c r="S1270" s="296"/>
      <c r="T1270" s="3">
        <v>53</v>
      </c>
      <c r="U1270" s="293"/>
    </row>
    <row r="1271" spans="1:21" ht="15" customHeight="1" x14ac:dyDescent="0.35">
      <c r="A1271" s="218" t="s">
        <v>3586</v>
      </c>
      <c r="B1271" s="3">
        <v>1215</v>
      </c>
      <c r="C1271" s="65">
        <v>102001755</v>
      </c>
      <c r="D1271" s="8" t="s">
        <v>1370</v>
      </c>
      <c r="E1271" s="19" t="s">
        <v>2219</v>
      </c>
      <c r="F1271" s="92">
        <v>1</v>
      </c>
      <c r="G1271" s="3" t="s">
        <v>0</v>
      </c>
      <c r="H1271" s="40">
        <v>41518</v>
      </c>
      <c r="I1271" s="27" t="s">
        <v>984</v>
      </c>
      <c r="J1271" s="4" t="s">
        <v>1962</v>
      </c>
      <c r="K1271" s="4" t="s">
        <v>988</v>
      </c>
      <c r="L1271" s="29" t="s">
        <v>977</v>
      </c>
      <c r="M1271" s="78">
        <f t="shared" si="248"/>
        <v>1801130</v>
      </c>
      <c r="N1271" s="78">
        <f t="shared" si="249"/>
        <v>1801130</v>
      </c>
      <c r="O1271" s="78">
        <v>1801130</v>
      </c>
      <c r="P1271" s="72">
        <v>851960</v>
      </c>
      <c r="Q1271" s="256">
        <f t="shared" si="250"/>
        <v>187431.2</v>
      </c>
      <c r="R1271" s="256">
        <f t="shared" si="251"/>
        <v>1039391.2</v>
      </c>
      <c r="S1271" s="296"/>
      <c r="T1271" s="3">
        <v>53</v>
      </c>
      <c r="U1271" s="293"/>
    </row>
    <row r="1272" spans="1:21" ht="15" customHeight="1" x14ac:dyDescent="0.35">
      <c r="A1272" s="218" t="s">
        <v>3587</v>
      </c>
      <c r="B1272" s="3">
        <v>1216</v>
      </c>
      <c r="C1272" s="65">
        <v>10147006</v>
      </c>
      <c r="D1272" s="8" t="s">
        <v>1376</v>
      </c>
      <c r="E1272" s="19" t="s">
        <v>2219</v>
      </c>
      <c r="F1272" s="92">
        <v>40</v>
      </c>
      <c r="G1272" s="3" t="s">
        <v>0</v>
      </c>
      <c r="H1272" s="40">
        <v>41456</v>
      </c>
      <c r="I1272" s="27" t="s">
        <v>984</v>
      </c>
      <c r="J1272" s="4" t="s">
        <v>1962</v>
      </c>
      <c r="K1272" s="4" t="s">
        <v>988</v>
      </c>
      <c r="L1272" s="29" t="s">
        <v>977</v>
      </c>
      <c r="M1272" s="78">
        <f t="shared" si="248"/>
        <v>15220</v>
      </c>
      <c r="N1272" s="78">
        <f t="shared" si="249"/>
        <v>380.5</v>
      </c>
      <c r="O1272" s="78">
        <v>15220</v>
      </c>
      <c r="P1272" s="72">
        <v>13260</v>
      </c>
      <c r="Q1272" s="256">
        <f t="shared" si="250"/>
        <v>2917.2</v>
      </c>
      <c r="R1272" s="256">
        <f t="shared" si="251"/>
        <v>16177.2</v>
      </c>
      <c r="S1272" s="296"/>
      <c r="T1272" s="3">
        <v>53</v>
      </c>
      <c r="U1272" s="293"/>
    </row>
    <row r="1273" spans="1:21" ht="15" customHeight="1" x14ac:dyDescent="0.35">
      <c r="A1273" s="218" t="s">
        <v>3588</v>
      </c>
      <c r="B1273" s="3">
        <v>1217</v>
      </c>
      <c r="C1273" s="65">
        <v>10004474</v>
      </c>
      <c r="D1273" s="8" t="s">
        <v>1389</v>
      </c>
      <c r="E1273" s="19" t="s">
        <v>2219</v>
      </c>
      <c r="F1273" s="92">
        <v>1</v>
      </c>
      <c r="G1273" s="3" t="s">
        <v>0</v>
      </c>
      <c r="H1273" s="40">
        <v>41487</v>
      </c>
      <c r="I1273" s="27" t="s">
        <v>984</v>
      </c>
      <c r="J1273" s="4" t="s">
        <v>1962</v>
      </c>
      <c r="K1273" s="4" t="s">
        <v>988</v>
      </c>
      <c r="L1273" s="29" t="s">
        <v>977</v>
      </c>
      <c r="M1273" s="78">
        <f t="shared" si="248"/>
        <v>68</v>
      </c>
      <c r="N1273" s="78">
        <f t="shared" si="249"/>
        <v>68</v>
      </c>
      <c r="O1273" s="78">
        <v>68</v>
      </c>
      <c r="P1273" s="72">
        <v>80</v>
      </c>
      <c r="Q1273" s="256">
        <f t="shared" si="250"/>
        <v>17.600000000000001</v>
      </c>
      <c r="R1273" s="256">
        <f t="shared" si="251"/>
        <v>97.6</v>
      </c>
      <c r="S1273" s="296"/>
      <c r="T1273" s="3">
        <v>53</v>
      </c>
      <c r="U1273" s="293"/>
    </row>
    <row r="1274" spans="1:21" ht="15" customHeight="1" x14ac:dyDescent="0.35">
      <c r="A1274" s="218" t="s">
        <v>3589</v>
      </c>
      <c r="B1274" s="3">
        <v>1218</v>
      </c>
      <c r="C1274" s="65">
        <v>10148164</v>
      </c>
      <c r="D1274" s="8" t="s">
        <v>1390</v>
      </c>
      <c r="E1274" s="19" t="s">
        <v>2219</v>
      </c>
      <c r="F1274" s="92">
        <v>50</v>
      </c>
      <c r="G1274" s="3" t="s">
        <v>0</v>
      </c>
      <c r="H1274" s="40">
        <v>41456</v>
      </c>
      <c r="I1274" s="27" t="s">
        <v>984</v>
      </c>
      <c r="J1274" s="4" t="s">
        <v>1962</v>
      </c>
      <c r="K1274" s="4" t="s">
        <v>988</v>
      </c>
      <c r="L1274" s="29" t="s">
        <v>977</v>
      </c>
      <c r="M1274" s="78">
        <f t="shared" si="248"/>
        <v>1583</v>
      </c>
      <c r="N1274" s="78">
        <f t="shared" si="249"/>
        <v>31.66</v>
      </c>
      <c r="O1274" s="78">
        <v>1583</v>
      </c>
      <c r="P1274" s="72">
        <v>750</v>
      </c>
      <c r="Q1274" s="256">
        <f t="shared" si="250"/>
        <v>165</v>
      </c>
      <c r="R1274" s="256">
        <f t="shared" si="251"/>
        <v>915</v>
      </c>
      <c r="S1274" s="296"/>
      <c r="T1274" s="3">
        <v>53</v>
      </c>
      <c r="U1274" s="293"/>
    </row>
    <row r="1275" spans="1:21" ht="15" customHeight="1" x14ac:dyDescent="0.35">
      <c r="A1275" s="218" t="s">
        <v>3590</v>
      </c>
      <c r="B1275" s="3">
        <v>1219</v>
      </c>
      <c r="C1275" s="65">
        <v>10152922</v>
      </c>
      <c r="D1275" s="8" t="s">
        <v>1391</v>
      </c>
      <c r="E1275" s="19" t="s">
        <v>2219</v>
      </c>
      <c r="F1275" s="92">
        <v>1</v>
      </c>
      <c r="G1275" s="3" t="s">
        <v>0</v>
      </c>
      <c r="H1275" s="40">
        <v>41548</v>
      </c>
      <c r="I1275" s="27" t="s">
        <v>984</v>
      </c>
      <c r="J1275" s="4" t="s">
        <v>1962</v>
      </c>
      <c r="K1275" s="4" t="s">
        <v>988</v>
      </c>
      <c r="L1275" s="29" t="s">
        <v>977</v>
      </c>
      <c r="M1275" s="78">
        <f t="shared" si="248"/>
        <v>4451.37</v>
      </c>
      <c r="N1275" s="78">
        <f t="shared" si="249"/>
        <v>4451.37</v>
      </c>
      <c r="O1275" s="78">
        <v>4451.37</v>
      </c>
      <c r="P1275" s="72">
        <v>2110</v>
      </c>
      <c r="Q1275" s="256">
        <f t="shared" si="250"/>
        <v>464.2</v>
      </c>
      <c r="R1275" s="256">
        <f t="shared" si="251"/>
        <v>2574.1999999999998</v>
      </c>
      <c r="S1275" s="296"/>
      <c r="T1275" s="3">
        <v>53</v>
      </c>
      <c r="U1275" s="293"/>
    </row>
    <row r="1276" spans="1:21" ht="15" customHeight="1" x14ac:dyDescent="0.35">
      <c r="A1276" s="218" t="s">
        <v>3591</v>
      </c>
      <c r="B1276" s="3">
        <v>1220</v>
      </c>
      <c r="C1276" s="65">
        <v>10148028</v>
      </c>
      <c r="D1276" s="8" t="s">
        <v>1394</v>
      </c>
      <c r="E1276" s="19" t="s">
        <v>2219</v>
      </c>
      <c r="F1276" s="92">
        <v>15</v>
      </c>
      <c r="G1276" s="3" t="s">
        <v>0</v>
      </c>
      <c r="H1276" s="40">
        <v>41456</v>
      </c>
      <c r="I1276" s="27" t="s">
        <v>984</v>
      </c>
      <c r="J1276" s="4" t="s">
        <v>1962</v>
      </c>
      <c r="K1276" s="4" t="s">
        <v>988</v>
      </c>
      <c r="L1276" s="29" t="s">
        <v>977</v>
      </c>
      <c r="M1276" s="78">
        <f t="shared" si="248"/>
        <v>118426.95</v>
      </c>
      <c r="N1276" s="78">
        <f t="shared" si="249"/>
        <v>7895.13</v>
      </c>
      <c r="O1276" s="78">
        <v>118426.95</v>
      </c>
      <c r="P1276" s="72">
        <v>150630</v>
      </c>
      <c r="Q1276" s="256">
        <f t="shared" si="250"/>
        <v>33138.6</v>
      </c>
      <c r="R1276" s="256">
        <f t="shared" si="251"/>
        <v>183768.6</v>
      </c>
      <c r="S1276" s="296"/>
      <c r="T1276" s="3">
        <v>53</v>
      </c>
      <c r="U1276" s="293"/>
    </row>
    <row r="1277" spans="1:21" ht="15" customHeight="1" x14ac:dyDescent="0.35">
      <c r="A1277" s="218" t="s">
        <v>3592</v>
      </c>
      <c r="B1277" s="3">
        <v>1221</v>
      </c>
      <c r="C1277" s="65">
        <v>10148041</v>
      </c>
      <c r="D1277" s="8" t="s">
        <v>1395</v>
      </c>
      <c r="E1277" s="19" t="s">
        <v>2219</v>
      </c>
      <c r="F1277" s="92">
        <v>3</v>
      </c>
      <c r="G1277" s="3" t="s">
        <v>0</v>
      </c>
      <c r="H1277" s="40">
        <v>41456</v>
      </c>
      <c r="I1277" s="27" t="s">
        <v>984</v>
      </c>
      <c r="J1277" s="4" t="s">
        <v>1962</v>
      </c>
      <c r="K1277" s="4" t="s">
        <v>988</v>
      </c>
      <c r="L1277" s="29" t="s">
        <v>977</v>
      </c>
      <c r="M1277" s="78">
        <f t="shared" si="248"/>
        <v>3994.5</v>
      </c>
      <c r="N1277" s="78">
        <f t="shared" si="249"/>
        <v>1331.5</v>
      </c>
      <c r="O1277" s="78">
        <v>3994.5</v>
      </c>
      <c r="P1277" s="72">
        <v>5970</v>
      </c>
      <c r="Q1277" s="256">
        <f t="shared" si="250"/>
        <v>1313.4</v>
      </c>
      <c r="R1277" s="256">
        <f t="shared" si="251"/>
        <v>7283.4</v>
      </c>
      <c r="S1277" s="296"/>
      <c r="T1277" s="3">
        <v>53</v>
      </c>
      <c r="U1277" s="293"/>
    </row>
    <row r="1278" spans="1:21" ht="15" customHeight="1" x14ac:dyDescent="0.35">
      <c r="A1278" s="218" t="s">
        <v>3593</v>
      </c>
      <c r="B1278" s="3">
        <v>1222</v>
      </c>
      <c r="C1278" s="44">
        <v>102000137</v>
      </c>
      <c r="D1278" s="18" t="s">
        <v>315</v>
      </c>
      <c r="E1278" s="18" t="s">
        <v>2197</v>
      </c>
      <c r="F1278" s="12">
        <v>1</v>
      </c>
      <c r="G1278" s="3" t="s">
        <v>0</v>
      </c>
      <c r="H1278" s="49">
        <v>2010</v>
      </c>
      <c r="I1278" s="5" t="s">
        <v>999</v>
      </c>
      <c r="J1278" s="4" t="s">
        <v>1962</v>
      </c>
      <c r="K1278" s="5" t="s">
        <v>988</v>
      </c>
      <c r="L1278" s="5" t="s">
        <v>871</v>
      </c>
      <c r="M1278" s="72">
        <f t="shared" si="248"/>
        <v>110707.63</v>
      </c>
      <c r="N1278" s="72">
        <f t="shared" si="249"/>
        <v>110707.63</v>
      </c>
      <c r="O1278" s="72">
        <v>110707.63</v>
      </c>
      <c r="P1278" s="72">
        <v>116390</v>
      </c>
      <c r="Q1278" s="256">
        <f t="shared" si="250"/>
        <v>25605.8</v>
      </c>
      <c r="R1278" s="256">
        <f t="shared" si="251"/>
        <v>141995.79999999999</v>
      </c>
      <c r="S1278" s="296"/>
      <c r="T1278" s="3">
        <v>53</v>
      </c>
      <c r="U1278" s="293"/>
    </row>
    <row r="1279" spans="1:21" ht="30" customHeight="1" x14ac:dyDescent="0.35">
      <c r="A1279" s="218" t="s">
        <v>3594</v>
      </c>
      <c r="B1279" s="3">
        <v>1223</v>
      </c>
      <c r="C1279" s="44">
        <v>102000675</v>
      </c>
      <c r="D1279" s="18" t="s">
        <v>316</v>
      </c>
      <c r="E1279" s="18" t="s">
        <v>2197</v>
      </c>
      <c r="F1279" s="12">
        <v>1</v>
      </c>
      <c r="G1279" s="3" t="s">
        <v>0</v>
      </c>
      <c r="H1279" s="49" t="s">
        <v>2195</v>
      </c>
      <c r="I1279" s="49" t="s">
        <v>999</v>
      </c>
      <c r="J1279" s="4" t="s">
        <v>1962</v>
      </c>
      <c r="K1279" s="5" t="s">
        <v>988</v>
      </c>
      <c r="L1279" s="5" t="s">
        <v>871</v>
      </c>
      <c r="M1279" s="72">
        <f t="shared" si="248"/>
        <v>24582</v>
      </c>
      <c r="N1279" s="72">
        <f t="shared" si="249"/>
        <v>24582</v>
      </c>
      <c r="O1279" s="72">
        <v>24582</v>
      </c>
      <c r="P1279" s="72">
        <v>25840</v>
      </c>
      <c r="Q1279" s="256">
        <f t="shared" si="250"/>
        <v>5684.8</v>
      </c>
      <c r="R1279" s="256">
        <f t="shared" si="251"/>
        <v>31524.799999999999</v>
      </c>
      <c r="S1279" s="296"/>
      <c r="T1279" s="3">
        <v>53</v>
      </c>
      <c r="U1279" s="293"/>
    </row>
    <row r="1280" spans="1:21" ht="15" customHeight="1" x14ac:dyDescent="0.35">
      <c r="A1280" s="218" t="s">
        <v>3595</v>
      </c>
      <c r="B1280" s="3">
        <v>1224</v>
      </c>
      <c r="C1280" s="44">
        <v>102000739</v>
      </c>
      <c r="D1280" s="18" t="s">
        <v>318</v>
      </c>
      <c r="E1280" s="18" t="s">
        <v>2197</v>
      </c>
      <c r="F1280" s="12">
        <v>1</v>
      </c>
      <c r="G1280" s="3" t="s">
        <v>0</v>
      </c>
      <c r="H1280" s="49" t="s">
        <v>2195</v>
      </c>
      <c r="I1280" s="49" t="s">
        <v>999</v>
      </c>
      <c r="J1280" s="5" t="s">
        <v>986</v>
      </c>
      <c r="K1280" s="5" t="s">
        <v>988</v>
      </c>
      <c r="L1280" s="5" t="s">
        <v>871</v>
      </c>
      <c r="M1280" s="72">
        <f t="shared" si="248"/>
        <v>171990.3</v>
      </c>
      <c r="N1280" s="72">
        <f t="shared" si="249"/>
        <v>171990.3</v>
      </c>
      <c r="O1280" s="72">
        <v>171990.3</v>
      </c>
      <c r="P1280" s="72">
        <v>147560</v>
      </c>
      <c r="Q1280" s="256">
        <f t="shared" si="250"/>
        <v>32463.200000000001</v>
      </c>
      <c r="R1280" s="256">
        <f t="shared" si="251"/>
        <v>180023.2</v>
      </c>
      <c r="S1280" s="297"/>
      <c r="T1280" s="3">
        <v>53</v>
      </c>
      <c r="U1280" s="293"/>
    </row>
    <row r="1281" spans="1:21" ht="15" customHeight="1" x14ac:dyDescent="0.35">
      <c r="A1281" s="218"/>
      <c r="B1281" s="94"/>
      <c r="C1281" s="44"/>
      <c r="D1281" s="18"/>
      <c r="E1281" s="18"/>
      <c r="F1281" s="12"/>
      <c r="G1281" s="3"/>
      <c r="H1281" s="49"/>
      <c r="I1281" s="49"/>
      <c r="J1281" s="5"/>
      <c r="K1281" s="5"/>
      <c r="L1281" s="5"/>
      <c r="M1281" s="72"/>
      <c r="N1281" s="72"/>
      <c r="O1281" s="82">
        <f>SUM(O1226:O1280)</f>
        <v>30128205.09</v>
      </c>
      <c r="P1281" s="276">
        <f t="shared" ref="P1281:Q1281" si="252">SUM(P1226:P1280)</f>
        <v>31152390</v>
      </c>
      <c r="Q1281" s="282">
        <f t="shared" si="252"/>
        <v>6853525.7999999998</v>
      </c>
      <c r="R1281" s="282">
        <f>SUM(R1226:R1280)</f>
        <v>38005915.799999997</v>
      </c>
      <c r="S1281" s="286">
        <f>R1281/100*10</f>
        <v>3800591.58</v>
      </c>
      <c r="T1281" s="104">
        <v>53</v>
      </c>
      <c r="U1281" s="304"/>
    </row>
    <row r="1282" spans="1:21" ht="62.15" customHeight="1" x14ac:dyDescent="0.35">
      <c r="A1282" s="218" t="s">
        <v>3596</v>
      </c>
      <c r="B1282" s="3">
        <v>1225</v>
      </c>
      <c r="C1282" s="44">
        <v>10009278</v>
      </c>
      <c r="D1282" s="18" t="s">
        <v>173</v>
      </c>
      <c r="E1282" s="18" t="s">
        <v>4274</v>
      </c>
      <c r="F1282" s="12">
        <v>1</v>
      </c>
      <c r="G1282" s="3" t="s">
        <v>0</v>
      </c>
      <c r="H1282" s="5">
        <v>42004</v>
      </c>
      <c r="I1282" s="5" t="s">
        <v>985</v>
      </c>
      <c r="J1282" s="4" t="s">
        <v>1962</v>
      </c>
      <c r="K1282" s="6" t="s">
        <v>2001</v>
      </c>
      <c r="L1282" s="6" t="s">
        <v>871</v>
      </c>
      <c r="M1282" s="81">
        <f t="shared" si="248"/>
        <v>16257.62</v>
      </c>
      <c r="N1282" s="81">
        <f t="shared" ref="N1282:N1326" si="253">O1282/F1282</f>
        <v>16257.62</v>
      </c>
      <c r="O1282" s="81">
        <v>16257.62</v>
      </c>
      <c r="P1282" s="72">
        <v>10610</v>
      </c>
      <c r="Q1282" s="256">
        <f t="shared" ref="Q1282:Q1326" si="254">R1282-P1282</f>
        <v>2334.1999999999998</v>
      </c>
      <c r="R1282" s="256">
        <f t="shared" ref="R1282:R1326" si="255">P1282*1.22</f>
        <v>12944.2</v>
      </c>
      <c r="S1282" s="289"/>
      <c r="T1282" s="3">
        <v>54</v>
      </c>
      <c r="U1282" s="292" t="s">
        <v>2331</v>
      </c>
    </row>
    <row r="1283" spans="1:21" ht="37" customHeight="1" x14ac:dyDescent="0.35">
      <c r="A1283" s="218" t="s">
        <v>3597</v>
      </c>
      <c r="B1283" s="3">
        <v>1226</v>
      </c>
      <c r="C1283" s="44">
        <v>10130784</v>
      </c>
      <c r="D1283" s="18" t="s">
        <v>306</v>
      </c>
      <c r="E1283" s="18" t="s">
        <v>2201</v>
      </c>
      <c r="F1283" s="12">
        <v>1</v>
      </c>
      <c r="G1283" s="3" t="s">
        <v>0</v>
      </c>
      <c r="H1283" s="5">
        <v>42824</v>
      </c>
      <c r="I1283" s="5" t="s">
        <v>999</v>
      </c>
      <c r="J1283" s="4" t="s">
        <v>1962</v>
      </c>
      <c r="K1283" s="5" t="s">
        <v>988</v>
      </c>
      <c r="L1283" s="5" t="s">
        <v>871</v>
      </c>
      <c r="M1283" s="72">
        <f t="shared" si="248"/>
        <v>2152.34</v>
      </c>
      <c r="N1283" s="72">
        <f t="shared" si="253"/>
        <v>2152.34</v>
      </c>
      <c r="O1283" s="72">
        <v>2152.34</v>
      </c>
      <c r="P1283" s="72">
        <v>1200</v>
      </c>
      <c r="Q1283" s="256">
        <f t="shared" si="254"/>
        <v>264</v>
      </c>
      <c r="R1283" s="256">
        <f t="shared" si="255"/>
        <v>1464</v>
      </c>
      <c r="S1283" s="296"/>
      <c r="T1283" s="3">
        <v>54</v>
      </c>
      <c r="U1283" s="293"/>
    </row>
    <row r="1284" spans="1:21" ht="55.5" customHeight="1" x14ac:dyDescent="0.35">
      <c r="A1284" s="218" t="s">
        <v>3598</v>
      </c>
      <c r="B1284" s="3">
        <v>1227</v>
      </c>
      <c r="C1284" s="44">
        <v>10094347</v>
      </c>
      <c r="D1284" s="18" t="s">
        <v>179</v>
      </c>
      <c r="E1284" s="18" t="s">
        <v>4274</v>
      </c>
      <c r="F1284" s="12">
        <v>1</v>
      </c>
      <c r="G1284" s="3" t="s">
        <v>0</v>
      </c>
      <c r="H1284" s="5">
        <v>42004</v>
      </c>
      <c r="I1284" s="5" t="s">
        <v>985</v>
      </c>
      <c r="J1284" s="4" t="s">
        <v>982</v>
      </c>
      <c r="K1284" s="6" t="s">
        <v>2022</v>
      </c>
      <c r="L1284" s="6" t="s">
        <v>871</v>
      </c>
      <c r="M1284" s="81">
        <f t="shared" si="248"/>
        <v>11427.69</v>
      </c>
      <c r="N1284" s="81">
        <f t="shared" si="253"/>
        <v>11427.69</v>
      </c>
      <c r="O1284" s="81">
        <v>11427.69</v>
      </c>
      <c r="P1284" s="72">
        <v>7460</v>
      </c>
      <c r="Q1284" s="256">
        <f t="shared" si="254"/>
        <v>1641.2</v>
      </c>
      <c r="R1284" s="256">
        <f t="shared" si="255"/>
        <v>9101.2000000000007</v>
      </c>
      <c r="S1284" s="296"/>
      <c r="T1284" s="3">
        <v>54</v>
      </c>
      <c r="U1284" s="293"/>
    </row>
    <row r="1285" spans="1:21" ht="42" customHeight="1" x14ac:dyDescent="0.35">
      <c r="A1285" s="218" t="s">
        <v>3599</v>
      </c>
      <c r="B1285" s="3">
        <v>1228</v>
      </c>
      <c r="C1285" s="44">
        <v>10093709</v>
      </c>
      <c r="D1285" s="18" t="s">
        <v>201</v>
      </c>
      <c r="E1285" s="18" t="s">
        <v>4274</v>
      </c>
      <c r="F1285" s="12">
        <v>2</v>
      </c>
      <c r="G1285" s="3" t="s">
        <v>0</v>
      </c>
      <c r="H1285" s="5">
        <v>39813</v>
      </c>
      <c r="I1285" s="5" t="s">
        <v>985</v>
      </c>
      <c r="J1285" s="4" t="s">
        <v>982</v>
      </c>
      <c r="K1285" s="6" t="s">
        <v>2023</v>
      </c>
      <c r="L1285" s="6" t="s">
        <v>871</v>
      </c>
      <c r="M1285" s="81">
        <f t="shared" si="248"/>
        <v>13124.02</v>
      </c>
      <c r="N1285" s="81">
        <f t="shared" si="253"/>
        <v>6562.01</v>
      </c>
      <c r="O1285" s="81">
        <v>13124.02</v>
      </c>
      <c r="P1285" s="72">
        <v>12680</v>
      </c>
      <c r="Q1285" s="256">
        <f t="shared" si="254"/>
        <v>2789.6</v>
      </c>
      <c r="R1285" s="256">
        <f t="shared" si="255"/>
        <v>15469.6</v>
      </c>
      <c r="S1285" s="296"/>
      <c r="T1285" s="3">
        <v>54</v>
      </c>
      <c r="U1285" s="293"/>
    </row>
    <row r="1286" spans="1:21" ht="15" customHeight="1" x14ac:dyDescent="0.35">
      <c r="A1286" s="218" t="s">
        <v>3600</v>
      </c>
      <c r="B1286" s="3">
        <v>1229</v>
      </c>
      <c r="C1286" s="44">
        <v>10020320</v>
      </c>
      <c r="D1286" s="18" t="s">
        <v>245</v>
      </c>
      <c r="E1286" s="18" t="s">
        <v>2204</v>
      </c>
      <c r="F1286" s="53">
        <v>3</v>
      </c>
      <c r="G1286" s="3" t="s">
        <v>0</v>
      </c>
      <c r="H1286" s="5">
        <v>39828</v>
      </c>
      <c r="I1286" s="5" t="s">
        <v>2144</v>
      </c>
      <c r="J1286" s="4" t="s">
        <v>1962</v>
      </c>
      <c r="K1286" s="5" t="s">
        <v>988</v>
      </c>
      <c r="L1286" s="6" t="s">
        <v>871</v>
      </c>
      <c r="M1286" s="81">
        <f t="shared" si="248"/>
        <v>1442.1</v>
      </c>
      <c r="N1286" s="81">
        <f t="shared" si="253"/>
        <v>480.7</v>
      </c>
      <c r="O1286" s="81">
        <v>1442.1</v>
      </c>
      <c r="P1286" s="72">
        <v>1410</v>
      </c>
      <c r="Q1286" s="256">
        <f t="shared" si="254"/>
        <v>310.2</v>
      </c>
      <c r="R1286" s="256">
        <f t="shared" si="255"/>
        <v>1720.2</v>
      </c>
      <c r="S1286" s="296"/>
      <c r="T1286" s="3">
        <v>54</v>
      </c>
      <c r="U1286" s="293"/>
    </row>
    <row r="1287" spans="1:21" ht="15" customHeight="1" x14ac:dyDescent="0.35">
      <c r="A1287" s="218" t="s">
        <v>3601</v>
      </c>
      <c r="B1287" s="3">
        <v>1230</v>
      </c>
      <c r="C1287" s="44">
        <v>10007287</v>
      </c>
      <c r="D1287" s="18" t="s">
        <v>248</v>
      </c>
      <c r="E1287" s="18" t="s">
        <v>2204</v>
      </c>
      <c r="F1287" s="12">
        <v>4</v>
      </c>
      <c r="G1287" s="3" t="s">
        <v>0</v>
      </c>
      <c r="H1287" s="5">
        <v>40144</v>
      </c>
      <c r="I1287" s="5" t="s">
        <v>2144</v>
      </c>
      <c r="J1287" s="4" t="s">
        <v>1962</v>
      </c>
      <c r="K1287" s="5" t="s">
        <v>988</v>
      </c>
      <c r="L1287" s="6" t="s">
        <v>871</v>
      </c>
      <c r="M1287" s="81">
        <f t="shared" si="248"/>
        <v>3198.81</v>
      </c>
      <c r="N1287" s="81">
        <f t="shared" si="253"/>
        <v>799.7</v>
      </c>
      <c r="O1287" s="81">
        <v>3198.81</v>
      </c>
      <c r="P1287" s="72">
        <v>2990</v>
      </c>
      <c r="Q1287" s="256">
        <f t="shared" si="254"/>
        <v>657.8</v>
      </c>
      <c r="R1287" s="256">
        <f t="shared" si="255"/>
        <v>3647.8</v>
      </c>
      <c r="S1287" s="296"/>
      <c r="T1287" s="3">
        <v>54</v>
      </c>
      <c r="U1287" s="293"/>
    </row>
    <row r="1288" spans="1:21" ht="15" customHeight="1" x14ac:dyDescent="0.35">
      <c r="A1288" s="218" t="s">
        <v>3602</v>
      </c>
      <c r="B1288" s="3">
        <v>1231</v>
      </c>
      <c r="C1288" s="44">
        <v>10005017</v>
      </c>
      <c r="D1288" s="18" t="s">
        <v>250</v>
      </c>
      <c r="E1288" s="18" t="s">
        <v>2207</v>
      </c>
      <c r="F1288" s="12">
        <v>5</v>
      </c>
      <c r="G1288" s="3" t="s">
        <v>0</v>
      </c>
      <c r="H1288" s="5">
        <v>42430</v>
      </c>
      <c r="I1288" s="5" t="s">
        <v>2144</v>
      </c>
      <c r="J1288" s="4" t="s">
        <v>1962</v>
      </c>
      <c r="K1288" s="5" t="s">
        <v>988</v>
      </c>
      <c r="L1288" s="6" t="s">
        <v>871</v>
      </c>
      <c r="M1288" s="81">
        <f t="shared" si="248"/>
        <v>1175</v>
      </c>
      <c r="N1288" s="81">
        <f t="shared" si="253"/>
        <v>235</v>
      </c>
      <c r="O1288" s="81">
        <v>1175</v>
      </c>
      <c r="P1288" s="72">
        <v>660</v>
      </c>
      <c r="Q1288" s="256">
        <f t="shared" si="254"/>
        <v>145.19999999999999</v>
      </c>
      <c r="R1288" s="256">
        <f t="shared" si="255"/>
        <v>805.2</v>
      </c>
      <c r="S1288" s="296"/>
      <c r="T1288" s="3">
        <v>54</v>
      </c>
      <c r="U1288" s="293"/>
    </row>
    <row r="1289" spans="1:21" ht="15" customHeight="1" x14ac:dyDescent="0.35">
      <c r="A1289" s="218" t="s">
        <v>3603</v>
      </c>
      <c r="B1289" s="3">
        <v>1232</v>
      </c>
      <c r="C1289" s="44">
        <v>102004305</v>
      </c>
      <c r="D1289" s="18" t="s">
        <v>251</v>
      </c>
      <c r="E1289" s="18" t="s">
        <v>2207</v>
      </c>
      <c r="F1289" s="12">
        <v>8</v>
      </c>
      <c r="G1289" s="3" t="s">
        <v>0</v>
      </c>
      <c r="H1289" s="5">
        <v>42430</v>
      </c>
      <c r="I1289" s="5" t="s">
        <v>2144</v>
      </c>
      <c r="J1289" s="4" t="s">
        <v>1962</v>
      </c>
      <c r="K1289" s="5" t="s">
        <v>988</v>
      </c>
      <c r="L1289" s="6" t="s">
        <v>871</v>
      </c>
      <c r="M1289" s="81">
        <f t="shared" si="248"/>
        <v>1880</v>
      </c>
      <c r="N1289" s="81">
        <f t="shared" si="253"/>
        <v>235</v>
      </c>
      <c r="O1289" s="81">
        <v>1880</v>
      </c>
      <c r="P1289" s="72">
        <v>1060</v>
      </c>
      <c r="Q1289" s="256">
        <f t="shared" si="254"/>
        <v>233.2</v>
      </c>
      <c r="R1289" s="256">
        <f t="shared" si="255"/>
        <v>1293.2</v>
      </c>
      <c r="S1289" s="296"/>
      <c r="T1289" s="3">
        <v>54</v>
      </c>
      <c r="U1289" s="293"/>
    </row>
    <row r="1290" spans="1:21" ht="15" customHeight="1" x14ac:dyDescent="0.35">
      <c r="A1290" s="218" t="s">
        <v>3604</v>
      </c>
      <c r="B1290" s="3">
        <v>1233</v>
      </c>
      <c r="C1290" s="71">
        <v>10005013</v>
      </c>
      <c r="D1290" s="48" t="s">
        <v>252</v>
      </c>
      <c r="E1290" s="48" t="s">
        <v>2207</v>
      </c>
      <c r="F1290" s="12">
        <f>17-6</f>
        <v>11</v>
      </c>
      <c r="G1290" s="3" t="s">
        <v>0</v>
      </c>
      <c r="H1290" s="5">
        <v>42430</v>
      </c>
      <c r="I1290" s="5" t="s">
        <v>2144</v>
      </c>
      <c r="J1290" s="4" t="s">
        <v>1962</v>
      </c>
      <c r="K1290" s="5" t="s">
        <v>988</v>
      </c>
      <c r="L1290" s="6" t="s">
        <v>871</v>
      </c>
      <c r="M1290" s="81">
        <f t="shared" si="248"/>
        <v>2711.63</v>
      </c>
      <c r="N1290" s="81">
        <f t="shared" si="253"/>
        <v>246.51</v>
      </c>
      <c r="O1290" s="81">
        <v>2711.63</v>
      </c>
      <c r="P1290" s="72">
        <v>1530</v>
      </c>
      <c r="Q1290" s="256">
        <f t="shared" si="254"/>
        <v>336.6</v>
      </c>
      <c r="R1290" s="256">
        <f t="shared" si="255"/>
        <v>1866.6</v>
      </c>
      <c r="S1290" s="296"/>
      <c r="T1290" s="3">
        <v>54</v>
      </c>
      <c r="U1290" s="293"/>
    </row>
    <row r="1291" spans="1:21" ht="15" customHeight="1" x14ac:dyDescent="0.35">
      <c r="A1291" s="218" t="s">
        <v>3605</v>
      </c>
      <c r="B1291" s="3">
        <v>1234</v>
      </c>
      <c r="C1291" s="44">
        <v>10005015</v>
      </c>
      <c r="D1291" s="18" t="s">
        <v>253</v>
      </c>
      <c r="E1291" s="18" t="s">
        <v>2207</v>
      </c>
      <c r="F1291" s="12">
        <v>38</v>
      </c>
      <c r="G1291" s="3" t="s">
        <v>0</v>
      </c>
      <c r="H1291" s="5">
        <v>42430</v>
      </c>
      <c r="I1291" s="5" t="s">
        <v>2144</v>
      </c>
      <c r="J1291" s="4" t="s">
        <v>1962</v>
      </c>
      <c r="K1291" s="5" t="s">
        <v>988</v>
      </c>
      <c r="L1291" s="6" t="s">
        <v>871</v>
      </c>
      <c r="M1291" s="81">
        <f t="shared" si="248"/>
        <v>8930</v>
      </c>
      <c r="N1291" s="81">
        <f t="shared" si="253"/>
        <v>235</v>
      </c>
      <c r="O1291" s="81">
        <v>8930</v>
      </c>
      <c r="P1291" s="72">
        <v>5040</v>
      </c>
      <c r="Q1291" s="256">
        <f t="shared" si="254"/>
        <v>1108.8</v>
      </c>
      <c r="R1291" s="256">
        <f t="shared" si="255"/>
        <v>6148.8</v>
      </c>
      <c r="S1291" s="296"/>
      <c r="T1291" s="3">
        <v>54</v>
      </c>
      <c r="U1291" s="293"/>
    </row>
    <row r="1292" spans="1:21" ht="15" customHeight="1" x14ac:dyDescent="0.35">
      <c r="A1292" s="218" t="s">
        <v>3606</v>
      </c>
      <c r="B1292" s="3">
        <v>1235</v>
      </c>
      <c r="C1292" s="44">
        <v>10013303</v>
      </c>
      <c r="D1292" s="18" t="s">
        <v>219</v>
      </c>
      <c r="E1292" s="18" t="s">
        <v>2206</v>
      </c>
      <c r="F1292" s="12">
        <v>1</v>
      </c>
      <c r="G1292" s="3" t="s">
        <v>0</v>
      </c>
      <c r="H1292" s="5">
        <v>42036</v>
      </c>
      <c r="I1292" s="5" t="s">
        <v>2144</v>
      </c>
      <c r="J1292" s="4" t="s">
        <v>1962</v>
      </c>
      <c r="K1292" s="5" t="s">
        <v>988</v>
      </c>
      <c r="L1292" s="6" t="s">
        <v>871</v>
      </c>
      <c r="M1292" s="81">
        <f t="shared" si="248"/>
        <v>2401.0300000000002</v>
      </c>
      <c r="N1292" s="81">
        <f t="shared" si="253"/>
        <v>2401.0300000000002</v>
      </c>
      <c r="O1292" s="81">
        <v>2401.0300000000002</v>
      </c>
      <c r="P1292" s="72">
        <v>1420</v>
      </c>
      <c r="Q1292" s="256">
        <f t="shared" si="254"/>
        <v>312.39999999999998</v>
      </c>
      <c r="R1292" s="256">
        <f t="shared" si="255"/>
        <v>1732.4</v>
      </c>
      <c r="S1292" s="296"/>
      <c r="T1292" s="3">
        <v>54</v>
      </c>
      <c r="U1292" s="293"/>
    </row>
    <row r="1293" spans="1:21" ht="15" customHeight="1" x14ac:dyDescent="0.35">
      <c r="A1293" s="218" t="s">
        <v>3607</v>
      </c>
      <c r="B1293" s="3">
        <v>1236</v>
      </c>
      <c r="C1293" s="45">
        <v>102001456</v>
      </c>
      <c r="D1293" s="15" t="s">
        <v>550</v>
      </c>
      <c r="E1293" s="18" t="s">
        <v>2236</v>
      </c>
      <c r="F1293" s="12">
        <v>1</v>
      </c>
      <c r="G1293" s="3" t="s">
        <v>0</v>
      </c>
      <c r="H1293" s="5">
        <v>42004</v>
      </c>
      <c r="I1293" s="30" t="s">
        <v>1003</v>
      </c>
      <c r="J1293" s="4" t="s">
        <v>1962</v>
      </c>
      <c r="K1293" s="14" t="s">
        <v>723</v>
      </c>
      <c r="L1293" s="3" t="s">
        <v>871</v>
      </c>
      <c r="M1293" s="72">
        <f t="shared" si="248"/>
        <v>199360</v>
      </c>
      <c r="N1293" s="72">
        <f t="shared" si="253"/>
        <v>199360</v>
      </c>
      <c r="O1293" s="72">
        <v>199360</v>
      </c>
      <c r="P1293" s="72">
        <v>130060</v>
      </c>
      <c r="Q1293" s="256">
        <f t="shared" si="254"/>
        <v>28613.200000000001</v>
      </c>
      <c r="R1293" s="256">
        <f t="shared" si="255"/>
        <v>158673.20000000001</v>
      </c>
      <c r="S1293" s="296"/>
      <c r="T1293" s="3">
        <v>54</v>
      </c>
      <c r="U1293" s="293"/>
    </row>
    <row r="1294" spans="1:21" ht="43.5" customHeight="1" x14ac:dyDescent="0.35">
      <c r="A1294" s="218" t="s">
        <v>3608</v>
      </c>
      <c r="B1294" s="3">
        <v>1237</v>
      </c>
      <c r="C1294" s="45">
        <v>10110254</v>
      </c>
      <c r="D1294" s="2" t="s">
        <v>573</v>
      </c>
      <c r="E1294" s="18" t="s">
        <v>2236</v>
      </c>
      <c r="F1294" s="12">
        <v>1</v>
      </c>
      <c r="G1294" s="3" t="s">
        <v>0</v>
      </c>
      <c r="H1294" s="5">
        <v>42004</v>
      </c>
      <c r="I1294" s="30" t="s">
        <v>1003</v>
      </c>
      <c r="J1294" s="4" t="s">
        <v>1962</v>
      </c>
      <c r="K1294" s="14" t="s">
        <v>739</v>
      </c>
      <c r="L1294" s="3" t="s">
        <v>871</v>
      </c>
      <c r="M1294" s="72">
        <f t="shared" si="248"/>
        <v>18514.18</v>
      </c>
      <c r="N1294" s="72">
        <f t="shared" si="253"/>
        <v>18514.18</v>
      </c>
      <c r="O1294" s="72">
        <v>18514.18</v>
      </c>
      <c r="P1294" s="72">
        <v>12080</v>
      </c>
      <c r="Q1294" s="256">
        <f t="shared" si="254"/>
        <v>2657.6</v>
      </c>
      <c r="R1294" s="256">
        <f t="shared" si="255"/>
        <v>14737.6</v>
      </c>
      <c r="S1294" s="296"/>
      <c r="T1294" s="3">
        <v>54</v>
      </c>
      <c r="U1294" s="293"/>
    </row>
    <row r="1295" spans="1:21" ht="15" customHeight="1" x14ac:dyDescent="0.35">
      <c r="A1295" s="218" t="s">
        <v>3609</v>
      </c>
      <c r="B1295" s="3">
        <v>1238</v>
      </c>
      <c r="C1295" s="45">
        <v>102002045</v>
      </c>
      <c r="D1295" s="15" t="s">
        <v>574</v>
      </c>
      <c r="E1295" s="18" t="s">
        <v>2236</v>
      </c>
      <c r="F1295" s="12">
        <v>1</v>
      </c>
      <c r="G1295" s="3" t="s">
        <v>0</v>
      </c>
      <c r="H1295" s="5">
        <v>42004</v>
      </c>
      <c r="I1295" s="30" t="s">
        <v>1003</v>
      </c>
      <c r="J1295" s="4" t="s">
        <v>1962</v>
      </c>
      <c r="K1295" s="14" t="s">
        <v>740</v>
      </c>
      <c r="L1295" s="3" t="s">
        <v>871</v>
      </c>
      <c r="M1295" s="72">
        <f t="shared" si="248"/>
        <v>67118.64</v>
      </c>
      <c r="N1295" s="72">
        <f t="shared" si="253"/>
        <v>67118.64</v>
      </c>
      <c r="O1295" s="72">
        <v>67118.64</v>
      </c>
      <c r="P1295" s="72">
        <v>43790</v>
      </c>
      <c r="Q1295" s="256">
        <f t="shared" si="254"/>
        <v>9633.7999999999993</v>
      </c>
      <c r="R1295" s="256">
        <f t="shared" si="255"/>
        <v>53423.8</v>
      </c>
      <c r="S1295" s="296"/>
      <c r="T1295" s="3">
        <v>54</v>
      </c>
      <c r="U1295" s="293"/>
    </row>
    <row r="1296" spans="1:21" ht="15" customHeight="1" x14ac:dyDescent="0.35">
      <c r="A1296" s="218" t="s">
        <v>3610</v>
      </c>
      <c r="B1296" s="3">
        <v>1239</v>
      </c>
      <c r="C1296" s="45">
        <v>10102834</v>
      </c>
      <c r="D1296" s="2" t="s">
        <v>575</v>
      </c>
      <c r="E1296" s="18" t="s">
        <v>2236</v>
      </c>
      <c r="F1296" s="12">
        <v>1</v>
      </c>
      <c r="G1296" s="3" t="s">
        <v>0</v>
      </c>
      <c r="H1296" s="5">
        <v>42004</v>
      </c>
      <c r="I1296" s="30" t="s">
        <v>1003</v>
      </c>
      <c r="J1296" s="4" t="s">
        <v>1962</v>
      </c>
      <c r="K1296" s="14" t="s">
        <v>741</v>
      </c>
      <c r="L1296" s="3" t="s">
        <v>871</v>
      </c>
      <c r="M1296" s="72">
        <f t="shared" si="248"/>
        <v>6915.94</v>
      </c>
      <c r="N1296" s="72">
        <f t="shared" si="253"/>
        <v>6915.94</v>
      </c>
      <c r="O1296" s="72">
        <v>6915.94</v>
      </c>
      <c r="P1296" s="72">
        <v>4510</v>
      </c>
      <c r="Q1296" s="256">
        <f t="shared" si="254"/>
        <v>992.2</v>
      </c>
      <c r="R1296" s="256">
        <f t="shared" si="255"/>
        <v>5502.2</v>
      </c>
      <c r="S1296" s="296"/>
      <c r="T1296" s="3">
        <v>54</v>
      </c>
      <c r="U1296" s="293"/>
    </row>
    <row r="1297" spans="1:21" ht="15" customHeight="1" x14ac:dyDescent="0.35">
      <c r="A1297" s="218" t="s">
        <v>3611</v>
      </c>
      <c r="B1297" s="3">
        <v>1240</v>
      </c>
      <c r="C1297" s="45">
        <v>10009278</v>
      </c>
      <c r="D1297" s="2" t="s">
        <v>173</v>
      </c>
      <c r="E1297" s="18" t="s">
        <v>2236</v>
      </c>
      <c r="F1297" s="12">
        <v>1</v>
      </c>
      <c r="G1297" s="3" t="s">
        <v>0</v>
      </c>
      <c r="H1297" s="5">
        <v>42004</v>
      </c>
      <c r="I1297" s="30" t="s">
        <v>1003</v>
      </c>
      <c r="J1297" s="4" t="s">
        <v>1962</v>
      </c>
      <c r="K1297" s="14" t="s">
        <v>771</v>
      </c>
      <c r="L1297" s="3" t="s">
        <v>871</v>
      </c>
      <c r="M1297" s="72">
        <f t="shared" si="248"/>
        <v>5581.03</v>
      </c>
      <c r="N1297" s="72">
        <f t="shared" si="253"/>
        <v>5581.03</v>
      </c>
      <c r="O1297" s="72">
        <v>5581.03</v>
      </c>
      <c r="P1297" s="72">
        <v>3640</v>
      </c>
      <c r="Q1297" s="256">
        <f t="shared" si="254"/>
        <v>800.8</v>
      </c>
      <c r="R1297" s="256">
        <f t="shared" si="255"/>
        <v>4440.8</v>
      </c>
      <c r="S1297" s="296"/>
      <c r="T1297" s="3">
        <v>54</v>
      </c>
      <c r="U1297" s="293"/>
    </row>
    <row r="1298" spans="1:21" ht="15" customHeight="1" x14ac:dyDescent="0.35">
      <c r="A1298" s="218" t="s">
        <v>3612</v>
      </c>
      <c r="B1298" s="3">
        <v>1241</v>
      </c>
      <c r="C1298" s="45">
        <v>10038667</v>
      </c>
      <c r="D1298" s="2" t="s">
        <v>671</v>
      </c>
      <c r="E1298" s="18" t="s">
        <v>2236</v>
      </c>
      <c r="F1298" s="7">
        <v>2</v>
      </c>
      <c r="G1298" s="3" t="s">
        <v>0</v>
      </c>
      <c r="H1298" s="5">
        <v>42004</v>
      </c>
      <c r="I1298" s="30" t="s">
        <v>1003</v>
      </c>
      <c r="J1298" s="4" t="s">
        <v>1962</v>
      </c>
      <c r="K1298" s="14" t="s">
        <v>800</v>
      </c>
      <c r="L1298" s="3" t="s">
        <v>871</v>
      </c>
      <c r="M1298" s="72">
        <f t="shared" si="248"/>
        <v>10900.5</v>
      </c>
      <c r="N1298" s="72">
        <f t="shared" si="253"/>
        <v>5450.25</v>
      </c>
      <c r="O1298" s="72">
        <v>10900.5</v>
      </c>
      <c r="P1298" s="72">
        <v>7110</v>
      </c>
      <c r="Q1298" s="256">
        <f t="shared" si="254"/>
        <v>1564.2</v>
      </c>
      <c r="R1298" s="256">
        <f t="shared" si="255"/>
        <v>8674.2000000000007</v>
      </c>
      <c r="S1298" s="296"/>
      <c r="T1298" s="3">
        <v>54</v>
      </c>
      <c r="U1298" s="293"/>
    </row>
    <row r="1299" spans="1:21" ht="15" customHeight="1" x14ac:dyDescent="0.35">
      <c r="A1299" s="218" t="s">
        <v>3613</v>
      </c>
      <c r="B1299" s="3">
        <v>1242</v>
      </c>
      <c r="C1299" s="45">
        <v>102000723</v>
      </c>
      <c r="D1299" s="15" t="s">
        <v>687</v>
      </c>
      <c r="E1299" s="18" t="s">
        <v>2236</v>
      </c>
      <c r="F1299" s="12">
        <v>1</v>
      </c>
      <c r="G1299" s="3" t="s">
        <v>0</v>
      </c>
      <c r="H1299" s="5">
        <v>42004</v>
      </c>
      <c r="I1299" s="30" t="s">
        <v>1003</v>
      </c>
      <c r="J1299" s="4" t="s">
        <v>1962</v>
      </c>
      <c r="K1299" s="14" t="s">
        <v>808</v>
      </c>
      <c r="L1299" s="3" t="s">
        <v>871</v>
      </c>
      <c r="M1299" s="72">
        <f t="shared" si="248"/>
        <v>112000</v>
      </c>
      <c r="N1299" s="72">
        <f t="shared" si="253"/>
        <v>112000</v>
      </c>
      <c r="O1299" s="72">
        <v>112000</v>
      </c>
      <c r="P1299" s="72">
        <v>73070</v>
      </c>
      <c r="Q1299" s="256">
        <f t="shared" si="254"/>
        <v>16075.4</v>
      </c>
      <c r="R1299" s="256">
        <f t="shared" si="255"/>
        <v>89145.4</v>
      </c>
      <c r="S1299" s="296"/>
      <c r="T1299" s="3">
        <v>54</v>
      </c>
      <c r="U1299" s="293"/>
    </row>
    <row r="1300" spans="1:21" ht="26.5" customHeight="1" x14ac:dyDescent="0.35">
      <c r="A1300" s="218" t="s">
        <v>3614</v>
      </c>
      <c r="B1300" s="3">
        <v>1243</v>
      </c>
      <c r="C1300" s="45">
        <v>102001012</v>
      </c>
      <c r="D1300" s="15" t="s">
        <v>669</v>
      </c>
      <c r="E1300" s="18" t="s">
        <v>711</v>
      </c>
      <c r="F1300" s="7">
        <v>1</v>
      </c>
      <c r="G1300" s="3" t="s">
        <v>0</v>
      </c>
      <c r="H1300" s="5">
        <v>42004</v>
      </c>
      <c r="I1300" s="30" t="s">
        <v>1003</v>
      </c>
      <c r="J1300" s="4" t="s">
        <v>1962</v>
      </c>
      <c r="K1300" s="14" t="s">
        <v>691</v>
      </c>
      <c r="L1300" s="3" t="s">
        <v>871</v>
      </c>
      <c r="M1300" s="72">
        <f t="shared" si="248"/>
        <v>34258.81</v>
      </c>
      <c r="N1300" s="72">
        <f t="shared" si="253"/>
        <v>34258.81</v>
      </c>
      <c r="O1300" s="72">
        <v>34258.81</v>
      </c>
      <c r="P1300" s="72">
        <v>22350</v>
      </c>
      <c r="Q1300" s="256">
        <f t="shared" si="254"/>
        <v>4917</v>
      </c>
      <c r="R1300" s="256">
        <f t="shared" si="255"/>
        <v>27267</v>
      </c>
      <c r="S1300" s="296"/>
      <c r="T1300" s="3">
        <v>54</v>
      </c>
      <c r="U1300" s="293"/>
    </row>
    <row r="1301" spans="1:21" ht="19.5" customHeight="1" x14ac:dyDescent="0.35">
      <c r="A1301" s="218" t="s">
        <v>3615</v>
      </c>
      <c r="B1301" s="3">
        <v>1244</v>
      </c>
      <c r="C1301" s="45">
        <v>10003070</v>
      </c>
      <c r="D1301" s="2" t="s">
        <v>685</v>
      </c>
      <c r="E1301" s="18" t="s">
        <v>711</v>
      </c>
      <c r="F1301" s="7">
        <v>2</v>
      </c>
      <c r="G1301" s="3" t="s">
        <v>0</v>
      </c>
      <c r="H1301" s="5">
        <v>42004</v>
      </c>
      <c r="I1301" s="30" t="s">
        <v>1003</v>
      </c>
      <c r="J1301" s="4" t="s">
        <v>1962</v>
      </c>
      <c r="K1301" s="14" t="s">
        <v>862</v>
      </c>
      <c r="L1301" s="3" t="s">
        <v>871</v>
      </c>
      <c r="M1301" s="72">
        <f t="shared" si="248"/>
        <v>3508.8</v>
      </c>
      <c r="N1301" s="72">
        <f t="shared" si="253"/>
        <v>1754.4</v>
      </c>
      <c r="O1301" s="72">
        <v>3508.8</v>
      </c>
      <c r="P1301" s="72">
        <v>2290</v>
      </c>
      <c r="Q1301" s="256">
        <f t="shared" si="254"/>
        <v>503.8</v>
      </c>
      <c r="R1301" s="256">
        <f t="shared" si="255"/>
        <v>2793.8</v>
      </c>
      <c r="S1301" s="296"/>
      <c r="T1301" s="3">
        <v>54</v>
      </c>
      <c r="U1301" s="293"/>
    </row>
    <row r="1302" spans="1:21" ht="15" customHeight="1" x14ac:dyDescent="0.35">
      <c r="A1302" s="218" t="s">
        <v>3616</v>
      </c>
      <c r="B1302" s="3">
        <v>1245</v>
      </c>
      <c r="C1302" s="45">
        <v>10103097</v>
      </c>
      <c r="D1302" s="2" t="s">
        <v>704</v>
      </c>
      <c r="E1302" s="18" t="s">
        <v>711</v>
      </c>
      <c r="F1302" s="7">
        <v>2</v>
      </c>
      <c r="G1302" s="3" t="s">
        <v>0</v>
      </c>
      <c r="H1302" s="5">
        <v>42004</v>
      </c>
      <c r="I1302" s="30" t="s">
        <v>1003</v>
      </c>
      <c r="J1302" s="4" t="s">
        <v>1962</v>
      </c>
      <c r="K1302" s="14" t="s">
        <v>869</v>
      </c>
      <c r="L1302" s="3" t="s">
        <v>871</v>
      </c>
      <c r="M1302" s="72">
        <f t="shared" si="248"/>
        <v>164.06</v>
      </c>
      <c r="N1302" s="72">
        <f t="shared" si="253"/>
        <v>82.03</v>
      </c>
      <c r="O1302" s="72">
        <v>164.06</v>
      </c>
      <c r="P1302" s="72">
        <v>110</v>
      </c>
      <c r="Q1302" s="256">
        <f t="shared" si="254"/>
        <v>24.2</v>
      </c>
      <c r="R1302" s="256">
        <f t="shared" si="255"/>
        <v>134.19999999999999</v>
      </c>
      <c r="S1302" s="296"/>
      <c r="T1302" s="3">
        <v>54</v>
      </c>
      <c r="U1302" s="293"/>
    </row>
    <row r="1303" spans="1:21" ht="15" customHeight="1" x14ac:dyDescent="0.35">
      <c r="A1303" s="218" t="s">
        <v>3617</v>
      </c>
      <c r="B1303" s="3">
        <v>1246</v>
      </c>
      <c r="C1303" s="45">
        <v>10103098</v>
      </c>
      <c r="D1303" s="2" t="s">
        <v>705</v>
      </c>
      <c r="E1303" s="18" t="s">
        <v>711</v>
      </c>
      <c r="F1303" s="7">
        <v>2</v>
      </c>
      <c r="G1303" s="3" t="s">
        <v>0</v>
      </c>
      <c r="H1303" s="5">
        <v>42004</v>
      </c>
      <c r="I1303" s="30" t="s">
        <v>1003</v>
      </c>
      <c r="J1303" s="4" t="s">
        <v>1962</v>
      </c>
      <c r="K1303" s="14" t="s">
        <v>870</v>
      </c>
      <c r="L1303" s="3" t="s">
        <v>871</v>
      </c>
      <c r="M1303" s="72">
        <f t="shared" si="248"/>
        <v>164.06</v>
      </c>
      <c r="N1303" s="72">
        <f t="shared" si="253"/>
        <v>82.03</v>
      </c>
      <c r="O1303" s="72">
        <v>164.06</v>
      </c>
      <c r="P1303" s="72">
        <v>110</v>
      </c>
      <c r="Q1303" s="256">
        <f t="shared" si="254"/>
        <v>24.2</v>
      </c>
      <c r="R1303" s="256">
        <f t="shared" si="255"/>
        <v>134.19999999999999</v>
      </c>
      <c r="S1303" s="296"/>
      <c r="T1303" s="3">
        <v>54</v>
      </c>
      <c r="U1303" s="293"/>
    </row>
    <row r="1304" spans="1:21" ht="15" customHeight="1" x14ac:dyDescent="0.35">
      <c r="A1304" s="218" t="s">
        <v>3618</v>
      </c>
      <c r="B1304" s="3">
        <v>1247</v>
      </c>
      <c r="C1304" s="44">
        <v>10133647</v>
      </c>
      <c r="D1304" s="18" t="s">
        <v>27</v>
      </c>
      <c r="E1304" s="18" t="s">
        <v>4085</v>
      </c>
      <c r="F1304" s="12">
        <v>1</v>
      </c>
      <c r="G1304" s="3" t="s">
        <v>0</v>
      </c>
      <c r="H1304" s="5">
        <v>42153</v>
      </c>
      <c r="I1304" s="5" t="s">
        <v>999</v>
      </c>
      <c r="J1304" s="4" t="s">
        <v>986</v>
      </c>
      <c r="K1304" s="5" t="s">
        <v>988</v>
      </c>
      <c r="L1304" s="29" t="s">
        <v>2143</v>
      </c>
      <c r="M1304" s="78">
        <f t="shared" si="248"/>
        <v>40824.51</v>
      </c>
      <c r="N1304" s="78">
        <f t="shared" si="253"/>
        <v>40824.51</v>
      </c>
      <c r="O1304" s="78">
        <v>40824.51</v>
      </c>
      <c r="P1304" s="72">
        <v>28460</v>
      </c>
      <c r="Q1304" s="256">
        <f t="shared" si="254"/>
        <v>6261.2</v>
      </c>
      <c r="R1304" s="256">
        <f t="shared" si="255"/>
        <v>34721.199999999997</v>
      </c>
      <c r="S1304" s="296"/>
      <c r="T1304" s="3">
        <v>54</v>
      </c>
      <c r="U1304" s="293"/>
    </row>
    <row r="1305" spans="1:21" ht="15" customHeight="1" x14ac:dyDescent="0.35">
      <c r="A1305" s="218" t="s">
        <v>3619</v>
      </c>
      <c r="B1305" s="3">
        <v>1248</v>
      </c>
      <c r="C1305" s="58">
        <v>102000723</v>
      </c>
      <c r="D1305" s="21" t="s">
        <v>965</v>
      </c>
      <c r="E1305" s="18" t="s">
        <v>2196</v>
      </c>
      <c r="F1305" s="7">
        <v>1</v>
      </c>
      <c r="G1305" s="3" t="s">
        <v>0</v>
      </c>
      <c r="H1305" s="33">
        <v>41944</v>
      </c>
      <c r="I1305" s="4" t="s">
        <v>999</v>
      </c>
      <c r="J1305" s="4" t="s">
        <v>1962</v>
      </c>
      <c r="K1305" s="4" t="s">
        <v>988</v>
      </c>
      <c r="L1305" s="5" t="s">
        <v>871</v>
      </c>
      <c r="M1305" s="72">
        <f t="shared" si="248"/>
        <v>112000</v>
      </c>
      <c r="N1305" s="72">
        <f t="shared" si="253"/>
        <v>112000</v>
      </c>
      <c r="O1305" s="72">
        <v>112000</v>
      </c>
      <c r="P1305" s="72">
        <v>73070</v>
      </c>
      <c r="Q1305" s="256">
        <f t="shared" si="254"/>
        <v>16075.4</v>
      </c>
      <c r="R1305" s="256">
        <f t="shared" si="255"/>
        <v>89145.4</v>
      </c>
      <c r="S1305" s="296"/>
      <c r="T1305" s="3">
        <v>54</v>
      </c>
      <c r="U1305" s="293"/>
    </row>
    <row r="1306" spans="1:21" ht="26.5" customHeight="1" x14ac:dyDescent="0.35">
      <c r="A1306" s="218" t="s">
        <v>3620</v>
      </c>
      <c r="B1306" s="3">
        <v>1249</v>
      </c>
      <c r="C1306" s="68">
        <v>10113077</v>
      </c>
      <c r="D1306" s="24" t="s">
        <v>1044</v>
      </c>
      <c r="E1306" s="18" t="s">
        <v>2237</v>
      </c>
      <c r="F1306" s="91">
        <v>1595</v>
      </c>
      <c r="G1306" s="3" t="s">
        <v>0</v>
      </c>
      <c r="H1306" s="54" t="s">
        <v>523</v>
      </c>
      <c r="I1306" s="4" t="s">
        <v>989</v>
      </c>
      <c r="J1306" s="25" t="s">
        <v>982</v>
      </c>
      <c r="K1306" s="23" t="s">
        <v>1044</v>
      </c>
      <c r="L1306" s="6" t="s">
        <v>871</v>
      </c>
      <c r="M1306" s="81">
        <f t="shared" si="248"/>
        <v>7622.24</v>
      </c>
      <c r="N1306" s="81">
        <f t="shared" si="253"/>
        <v>4.78</v>
      </c>
      <c r="O1306" s="81">
        <v>7622.24</v>
      </c>
      <c r="P1306" s="72">
        <v>5800</v>
      </c>
      <c r="Q1306" s="256">
        <f t="shared" si="254"/>
        <v>1276</v>
      </c>
      <c r="R1306" s="256">
        <f t="shared" si="255"/>
        <v>7076</v>
      </c>
      <c r="S1306" s="296"/>
      <c r="T1306" s="3">
        <v>54</v>
      </c>
      <c r="U1306" s="293"/>
    </row>
    <row r="1307" spans="1:21" ht="30.65" customHeight="1" x14ac:dyDescent="0.35">
      <c r="A1307" s="218" t="s">
        <v>3621</v>
      </c>
      <c r="B1307" s="3">
        <v>1250</v>
      </c>
      <c r="C1307" s="68">
        <v>10101720</v>
      </c>
      <c r="D1307" s="24" t="s">
        <v>1045</v>
      </c>
      <c r="E1307" s="18" t="s">
        <v>2237</v>
      </c>
      <c r="F1307" s="91">
        <v>2235</v>
      </c>
      <c r="G1307" s="3" t="s">
        <v>0</v>
      </c>
      <c r="H1307" s="54" t="s">
        <v>523</v>
      </c>
      <c r="I1307" s="4" t="s">
        <v>989</v>
      </c>
      <c r="J1307" s="25" t="s">
        <v>982</v>
      </c>
      <c r="K1307" s="23" t="s">
        <v>1045</v>
      </c>
      <c r="L1307" s="6" t="s">
        <v>871</v>
      </c>
      <c r="M1307" s="81">
        <f t="shared" si="248"/>
        <v>28356.09</v>
      </c>
      <c r="N1307" s="81">
        <f t="shared" si="253"/>
        <v>12.69</v>
      </c>
      <c r="O1307" s="81">
        <v>28356.09</v>
      </c>
      <c r="P1307" s="72">
        <v>21570</v>
      </c>
      <c r="Q1307" s="256">
        <f t="shared" si="254"/>
        <v>4745.3999999999996</v>
      </c>
      <c r="R1307" s="256">
        <f t="shared" si="255"/>
        <v>26315.4</v>
      </c>
      <c r="S1307" s="296"/>
      <c r="T1307" s="3">
        <v>54</v>
      </c>
      <c r="U1307" s="293"/>
    </row>
    <row r="1308" spans="1:21" ht="15" customHeight="1" x14ac:dyDescent="0.35">
      <c r="A1308" s="218" t="s">
        <v>3622</v>
      </c>
      <c r="B1308" s="3">
        <v>1251</v>
      </c>
      <c r="C1308" s="68">
        <v>10118898</v>
      </c>
      <c r="D1308" s="24" t="s">
        <v>1150</v>
      </c>
      <c r="E1308" s="18" t="s">
        <v>2237</v>
      </c>
      <c r="F1308" s="91">
        <v>1</v>
      </c>
      <c r="G1308" s="3" t="s">
        <v>0</v>
      </c>
      <c r="H1308" s="54" t="s">
        <v>522</v>
      </c>
      <c r="I1308" s="4" t="s">
        <v>989</v>
      </c>
      <c r="J1308" s="25" t="s">
        <v>2285</v>
      </c>
      <c r="K1308" s="23" t="s">
        <v>1150</v>
      </c>
      <c r="L1308" s="6" t="s">
        <v>871</v>
      </c>
      <c r="M1308" s="81">
        <f t="shared" si="248"/>
        <v>6615</v>
      </c>
      <c r="N1308" s="81">
        <f t="shared" si="253"/>
        <v>6615</v>
      </c>
      <c r="O1308" s="81">
        <v>6615</v>
      </c>
      <c r="P1308" s="72">
        <v>4900</v>
      </c>
      <c r="Q1308" s="256">
        <f t="shared" si="254"/>
        <v>1078</v>
      </c>
      <c r="R1308" s="256">
        <f t="shared" si="255"/>
        <v>5978</v>
      </c>
      <c r="S1308" s="296"/>
      <c r="T1308" s="3">
        <v>54</v>
      </c>
      <c r="U1308" s="293"/>
    </row>
    <row r="1309" spans="1:21" ht="15" customHeight="1" x14ac:dyDescent="0.35">
      <c r="A1309" s="218" t="s">
        <v>3623</v>
      </c>
      <c r="B1309" s="3">
        <v>1252</v>
      </c>
      <c r="C1309" s="18">
        <v>102029288</v>
      </c>
      <c r="D1309" s="18" t="s">
        <v>2152</v>
      </c>
      <c r="E1309" s="18" t="s">
        <v>2197</v>
      </c>
      <c r="F1309" s="12">
        <v>1</v>
      </c>
      <c r="G1309" s="3" t="s">
        <v>0</v>
      </c>
      <c r="H1309" s="3">
        <v>2006</v>
      </c>
      <c r="I1309" s="13" t="s">
        <v>999</v>
      </c>
      <c r="J1309" s="4" t="s">
        <v>1962</v>
      </c>
      <c r="K1309" s="4" t="s">
        <v>988</v>
      </c>
      <c r="L1309" s="5" t="s">
        <v>871</v>
      </c>
      <c r="M1309" s="72">
        <f t="shared" ref="M1309:M1335" si="256">O1309</f>
        <v>677.41</v>
      </c>
      <c r="N1309" s="72">
        <f t="shared" si="253"/>
        <v>677.41</v>
      </c>
      <c r="O1309" s="72">
        <v>677.41</v>
      </c>
      <c r="P1309" s="72">
        <v>810</v>
      </c>
      <c r="Q1309" s="256">
        <f t="shared" si="254"/>
        <v>178.2</v>
      </c>
      <c r="R1309" s="256">
        <f t="shared" si="255"/>
        <v>988.2</v>
      </c>
      <c r="S1309" s="296"/>
      <c r="T1309" s="3">
        <v>54</v>
      </c>
      <c r="U1309" s="293"/>
    </row>
    <row r="1310" spans="1:21" ht="30" customHeight="1" x14ac:dyDescent="0.35">
      <c r="A1310" s="218" t="s">
        <v>3624</v>
      </c>
      <c r="B1310" s="3">
        <v>1253</v>
      </c>
      <c r="C1310" s="18">
        <v>102029227</v>
      </c>
      <c r="D1310" s="18" t="s">
        <v>2153</v>
      </c>
      <c r="E1310" s="18" t="s">
        <v>2197</v>
      </c>
      <c r="F1310" s="12">
        <v>2</v>
      </c>
      <c r="G1310" s="3" t="s">
        <v>0</v>
      </c>
      <c r="H1310" s="3">
        <v>2006</v>
      </c>
      <c r="I1310" s="13" t="s">
        <v>999</v>
      </c>
      <c r="J1310" s="4" t="s">
        <v>1962</v>
      </c>
      <c r="K1310" s="4" t="s">
        <v>988</v>
      </c>
      <c r="L1310" s="5" t="s">
        <v>871</v>
      </c>
      <c r="M1310" s="72">
        <f t="shared" si="256"/>
        <v>2757.6</v>
      </c>
      <c r="N1310" s="72">
        <f t="shared" si="253"/>
        <v>1378.8</v>
      </c>
      <c r="O1310" s="72">
        <v>2757.6</v>
      </c>
      <c r="P1310" s="72">
        <v>3280</v>
      </c>
      <c r="Q1310" s="256">
        <f t="shared" si="254"/>
        <v>721.6</v>
      </c>
      <c r="R1310" s="256">
        <f t="shared" si="255"/>
        <v>4001.6</v>
      </c>
      <c r="S1310" s="296"/>
      <c r="T1310" s="3">
        <v>54</v>
      </c>
      <c r="U1310" s="293"/>
    </row>
    <row r="1311" spans="1:21" ht="15" customHeight="1" x14ac:dyDescent="0.35">
      <c r="A1311" s="218" t="s">
        <v>3625</v>
      </c>
      <c r="B1311" s="3">
        <v>1254</v>
      </c>
      <c r="C1311" s="18">
        <v>102029226</v>
      </c>
      <c r="D1311" s="18" t="s">
        <v>2154</v>
      </c>
      <c r="E1311" s="18" t="s">
        <v>2197</v>
      </c>
      <c r="F1311" s="12">
        <v>1</v>
      </c>
      <c r="G1311" s="3" t="s">
        <v>0</v>
      </c>
      <c r="H1311" s="3">
        <v>2006</v>
      </c>
      <c r="I1311" s="13" t="s">
        <v>999</v>
      </c>
      <c r="J1311" s="4" t="s">
        <v>1962</v>
      </c>
      <c r="K1311" s="4" t="s">
        <v>988</v>
      </c>
      <c r="L1311" s="5" t="s">
        <v>871</v>
      </c>
      <c r="M1311" s="72">
        <f t="shared" si="256"/>
        <v>1378.8</v>
      </c>
      <c r="N1311" s="72">
        <f t="shared" si="253"/>
        <v>1378.8</v>
      </c>
      <c r="O1311" s="72">
        <v>1378.8</v>
      </c>
      <c r="P1311" s="72">
        <v>1640</v>
      </c>
      <c r="Q1311" s="256">
        <f t="shared" si="254"/>
        <v>360.8</v>
      </c>
      <c r="R1311" s="256">
        <f t="shared" si="255"/>
        <v>2000.8</v>
      </c>
      <c r="S1311" s="296"/>
      <c r="T1311" s="3">
        <v>54</v>
      </c>
      <c r="U1311" s="293"/>
    </row>
    <row r="1312" spans="1:21" ht="15" customHeight="1" x14ac:dyDescent="0.35">
      <c r="A1312" s="218" t="s">
        <v>3626</v>
      </c>
      <c r="B1312" s="3">
        <v>1255</v>
      </c>
      <c r="C1312" s="18">
        <v>102029225</v>
      </c>
      <c r="D1312" s="18" t="s">
        <v>2155</v>
      </c>
      <c r="E1312" s="18" t="s">
        <v>2197</v>
      </c>
      <c r="F1312" s="12">
        <v>1</v>
      </c>
      <c r="G1312" s="3" t="s">
        <v>0</v>
      </c>
      <c r="H1312" s="3">
        <v>2007</v>
      </c>
      <c r="I1312" s="13" t="s">
        <v>999</v>
      </c>
      <c r="J1312" s="4" t="s">
        <v>1962</v>
      </c>
      <c r="K1312" s="4" t="s">
        <v>988</v>
      </c>
      <c r="L1312" s="5" t="s">
        <v>871</v>
      </c>
      <c r="M1312" s="72">
        <f t="shared" si="256"/>
        <v>1556.39</v>
      </c>
      <c r="N1312" s="72">
        <f t="shared" si="253"/>
        <v>1556.39</v>
      </c>
      <c r="O1312" s="72">
        <v>1556.39</v>
      </c>
      <c r="P1312" s="72">
        <v>1650</v>
      </c>
      <c r="Q1312" s="256">
        <f t="shared" si="254"/>
        <v>363</v>
      </c>
      <c r="R1312" s="256">
        <f t="shared" si="255"/>
        <v>2013</v>
      </c>
      <c r="S1312" s="296"/>
      <c r="T1312" s="3">
        <v>54</v>
      </c>
      <c r="U1312" s="293"/>
    </row>
    <row r="1313" spans="1:21" ht="15" customHeight="1" x14ac:dyDescent="0.35">
      <c r="A1313" s="218" t="s">
        <v>3627</v>
      </c>
      <c r="B1313" s="3">
        <v>1256</v>
      </c>
      <c r="C1313" s="18">
        <v>102029235</v>
      </c>
      <c r="D1313" s="18" t="s">
        <v>2156</v>
      </c>
      <c r="E1313" s="18" t="s">
        <v>2197</v>
      </c>
      <c r="F1313" s="12">
        <v>1</v>
      </c>
      <c r="G1313" s="3" t="s">
        <v>0</v>
      </c>
      <c r="H1313" s="3">
        <v>2008</v>
      </c>
      <c r="I1313" s="13" t="s">
        <v>999</v>
      </c>
      <c r="J1313" s="4" t="s">
        <v>1962</v>
      </c>
      <c r="K1313" s="4" t="s">
        <v>988</v>
      </c>
      <c r="L1313" s="5" t="s">
        <v>871</v>
      </c>
      <c r="M1313" s="72">
        <f t="shared" si="256"/>
        <v>1477.31</v>
      </c>
      <c r="N1313" s="72">
        <f t="shared" si="253"/>
        <v>1477.31</v>
      </c>
      <c r="O1313" s="72">
        <v>1477.31</v>
      </c>
      <c r="P1313" s="72">
        <v>1430</v>
      </c>
      <c r="Q1313" s="256">
        <f t="shared" si="254"/>
        <v>314.60000000000002</v>
      </c>
      <c r="R1313" s="256">
        <f t="shared" si="255"/>
        <v>1744.6</v>
      </c>
      <c r="S1313" s="296"/>
      <c r="T1313" s="3">
        <v>54</v>
      </c>
      <c r="U1313" s="293"/>
    </row>
    <row r="1314" spans="1:21" ht="15" customHeight="1" x14ac:dyDescent="0.35">
      <c r="A1314" s="218" t="s">
        <v>3628</v>
      </c>
      <c r="B1314" s="3">
        <v>1257</v>
      </c>
      <c r="C1314" s="18">
        <v>102029233</v>
      </c>
      <c r="D1314" s="18" t="s">
        <v>2157</v>
      </c>
      <c r="E1314" s="18" t="s">
        <v>2197</v>
      </c>
      <c r="F1314" s="12">
        <v>1</v>
      </c>
      <c r="G1314" s="3" t="s">
        <v>0</v>
      </c>
      <c r="H1314" s="3">
        <v>2008</v>
      </c>
      <c r="I1314" s="13" t="s">
        <v>999</v>
      </c>
      <c r="J1314" s="4" t="s">
        <v>1962</v>
      </c>
      <c r="K1314" s="4" t="s">
        <v>988</v>
      </c>
      <c r="L1314" s="5" t="s">
        <v>871</v>
      </c>
      <c r="M1314" s="72">
        <f t="shared" si="256"/>
        <v>1309.95</v>
      </c>
      <c r="N1314" s="72">
        <f t="shared" si="253"/>
        <v>1309.95</v>
      </c>
      <c r="O1314" s="72">
        <v>1309.95</v>
      </c>
      <c r="P1314" s="72">
        <v>1270</v>
      </c>
      <c r="Q1314" s="256">
        <f t="shared" si="254"/>
        <v>279.39999999999998</v>
      </c>
      <c r="R1314" s="256">
        <f t="shared" si="255"/>
        <v>1549.4</v>
      </c>
      <c r="S1314" s="296"/>
      <c r="T1314" s="3">
        <v>54</v>
      </c>
      <c r="U1314" s="293"/>
    </row>
    <row r="1315" spans="1:21" ht="15" customHeight="1" x14ac:dyDescent="0.35">
      <c r="A1315" s="218" t="s">
        <v>3629</v>
      </c>
      <c r="B1315" s="3">
        <v>1258</v>
      </c>
      <c r="C1315" s="18">
        <v>102029259</v>
      </c>
      <c r="D1315" s="18" t="s">
        <v>2174</v>
      </c>
      <c r="E1315" s="18" t="s">
        <v>2197</v>
      </c>
      <c r="F1315" s="12">
        <v>48</v>
      </c>
      <c r="G1315" s="3" t="s">
        <v>0</v>
      </c>
      <c r="H1315" s="3">
        <v>2008</v>
      </c>
      <c r="I1315" s="13" t="s">
        <v>999</v>
      </c>
      <c r="J1315" s="4" t="s">
        <v>1962</v>
      </c>
      <c r="K1315" s="4" t="s">
        <v>988</v>
      </c>
      <c r="L1315" s="5" t="s">
        <v>871</v>
      </c>
      <c r="M1315" s="72">
        <f t="shared" si="256"/>
        <v>42921.120000000003</v>
      </c>
      <c r="N1315" s="72">
        <f t="shared" si="253"/>
        <v>894.19</v>
      </c>
      <c r="O1315" s="72">
        <v>42921.120000000003</v>
      </c>
      <c r="P1315" s="72">
        <v>41520</v>
      </c>
      <c r="Q1315" s="256">
        <f t="shared" si="254"/>
        <v>9134.4</v>
      </c>
      <c r="R1315" s="256">
        <f t="shared" si="255"/>
        <v>50654.400000000001</v>
      </c>
      <c r="S1315" s="296"/>
      <c r="T1315" s="3">
        <v>54</v>
      </c>
      <c r="U1315" s="293"/>
    </row>
    <row r="1316" spans="1:21" ht="15" customHeight="1" x14ac:dyDescent="0.35">
      <c r="A1316" s="218" t="s">
        <v>3630</v>
      </c>
      <c r="B1316" s="3">
        <v>1259</v>
      </c>
      <c r="C1316" s="18">
        <v>102029279</v>
      </c>
      <c r="D1316" s="18" t="s">
        <v>2175</v>
      </c>
      <c r="E1316" s="18" t="s">
        <v>2197</v>
      </c>
      <c r="F1316" s="12">
        <v>13</v>
      </c>
      <c r="G1316" s="3" t="s">
        <v>0</v>
      </c>
      <c r="H1316" s="3">
        <v>2008</v>
      </c>
      <c r="I1316" s="13" t="s">
        <v>999</v>
      </c>
      <c r="J1316" s="4" t="s">
        <v>1962</v>
      </c>
      <c r="K1316" s="4" t="s">
        <v>988</v>
      </c>
      <c r="L1316" s="5" t="s">
        <v>871</v>
      </c>
      <c r="M1316" s="72">
        <f t="shared" si="256"/>
        <v>11624.47</v>
      </c>
      <c r="N1316" s="72">
        <f t="shared" si="253"/>
        <v>894.19</v>
      </c>
      <c r="O1316" s="72">
        <v>11624.47</v>
      </c>
      <c r="P1316" s="72">
        <v>11250</v>
      </c>
      <c r="Q1316" s="256">
        <f t="shared" si="254"/>
        <v>2475</v>
      </c>
      <c r="R1316" s="256">
        <f t="shared" si="255"/>
        <v>13725</v>
      </c>
      <c r="S1316" s="296"/>
      <c r="T1316" s="3">
        <v>54</v>
      </c>
      <c r="U1316" s="293"/>
    </row>
    <row r="1317" spans="1:21" ht="15" customHeight="1" x14ac:dyDescent="0.35">
      <c r="A1317" s="218" t="s">
        <v>3631</v>
      </c>
      <c r="B1317" s="3">
        <v>1260</v>
      </c>
      <c r="C1317" s="18">
        <v>102029311</v>
      </c>
      <c r="D1317" s="18" t="s">
        <v>2176</v>
      </c>
      <c r="E1317" s="18" t="s">
        <v>2197</v>
      </c>
      <c r="F1317" s="12">
        <v>50</v>
      </c>
      <c r="G1317" s="3" t="s">
        <v>0</v>
      </c>
      <c r="H1317" s="3">
        <v>2008</v>
      </c>
      <c r="I1317" s="13" t="s">
        <v>999</v>
      </c>
      <c r="J1317" s="4" t="s">
        <v>1962</v>
      </c>
      <c r="K1317" s="4" t="s">
        <v>988</v>
      </c>
      <c r="L1317" s="5" t="s">
        <v>871</v>
      </c>
      <c r="M1317" s="72">
        <f t="shared" si="256"/>
        <v>51613</v>
      </c>
      <c r="N1317" s="72">
        <f t="shared" si="253"/>
        <v>1032.26</v>
      </c>
      <c r="O1317" s="72">
        <v>51613</v>
      </c>
      <c r="P1317" s="72">
        <v>49930</v>
      </c>
      <c r="Q1317" s="256">
        <f t="shared" si="254"/>
        <v>10984.6</v>
      </c>
      <c r="R1317" s="256">
        <f t="shared" si="255"/>
        <v>60914.6</v>
      </c>
      <c r="S1317" s="296"/>
      <c r="T1317" s="3">
        <v>54</v>
      </c>
      <c r="U1317" s="293"/>
    </row>
    <row r="1318" spans="1:21" ht="15" customHeight="1" x14ac:dyDescent="0.35">
      <c r="A1318" s="218" t="s">
        <v>3632</v>
      </c>
      <c r="B1318" s="3">
        <v>1261</v>
      </c>
      <c r="C1318" s="18">
        <v>102029302</v>
      </c>
      <c r="D1318" s="18" t="s">
        <v>2177</v>
      </c>
      <c r="E1318" s="18" t="s">
        <v>2197</v>
      </c>
      <c r="F1318" s="12">
        <f>52-10</f>
        <v>42</v>
      </c>
      <c r="G1318" s="3" t="s">
        <v>0</v>
      </c>
      <c r="H1318" s="3">
        <v>2008</v>
      </c>
      <c r="I1318" s="13" t="s">
        <v>999</v>
      </c>
      <c r="J1318" s="4" t="s">
        <v>1962</v>
      </c>
      <c r="K1318" s="4" t="s">
        <v>988</v>
      </c>
      <c r="L1318" s="5" t="s">
        <v>871</v>
      </c>
      <c r="M1318" s="72">
        <f t="shared" si="256"/>
        <v>37555.980000000003</v>
      </c>
      <c r="N1318" s="72">
        <f t="shared" si="253"/>
        <v>894.19</v>
      </c>
      <c r="O1318" s="72">
        <f>46497.88/52*42</f>
        <v>37555.980000000003</v>
      </c>
      <c r="P1318" s="72">
        <v>36330</v>
      </c>
      <c r="Q1318" s="256">
        <f t="shared" si="254"/>
        <v>7992.6</v>
      </c>
      <c r="R1318" s="256">
        <f t="shared" si="255"/>
        <v>44322.6</v>
      </c>
      <c r="S1318" s="296"/>
      <c r="T1318" s="3">
        <v>54</v>
      </c>
      <c r="U1318" s="293"/>
    </row>
    <row r="1319" spans="1:21" ht="15" customHeight="1" x14ac:dyDescent="0.35">
      <c r="A1319" s="218" t="s">
        <v>3633</v>
      </c>
      <c r="B1319" s="3">
        <v>1262</v>
      </c>
      <c r="C1319" s="18">
        <v>102029194</v>
      </c>
      <c r="D1319" s="18" t="s">
        <v>2181</v>
      </c>
      <c r="E1319" s="18" t="s">
        <v>2197</v>
      </c>
      <c r="F1319" s="12">
        <v>40</v>
      </c>
      <c r="G1319" s="3" t="s">
        <v>0</v>
      </c>
      <c r="H1319" s="3">
        <v>2008</v>
      </c>
      <c r="I1319" s="13" t="s">
        <v>999</v>
      </c>
      <c r="J1319" s="4" t="s">
        <v>1962</v>
      </c>
      <c r="K1319" s="4" t="s">
        <v>988</v>
      </c>
      <c r="L1319" s="5" t="s">
        <v>871</v>
      </c>
      <c r="M1319" s="72">
        <f t="shared" si="256"/>
        <v>15344</v>
      </c>
      <c r="N1319" s="72">
        <f t="shared" si="253"/>
        <v>383.6</v>
      </c>
      <c r="O1319" s="72">
        <v>15344</v>
      </c>
      <c r="P1319" s="72">
        <v>14840</v>
      </c>
      <c r="Q1319" s="256">
        <f t="shared" si="254"/>
        <v>3264.8</v>
      </c>
      <c r="R1319" s="256">
        <f t="shared" si="255"/>
        <v>18104.8</v>
      </c>
      <c r="S1319" s="296"/>
      <c r="T1319" s="3">
        <v>54</v>
      </c>
      <c r="U1319" s="293"/>
    </row>
    <row r="1320" spans="1:21" ht="34" customHeight="1" x14ac:dyDescent="0.35">
      <c r="A1320" s="218" t="s">
        <v>3634</v>
      </c>
      <c r="B1320" s="3">
        <v>1263</v>
      </c>
      <c r="C1320" s="44">
        <v>10005025</v>
      </c>
      <c r="D1320" s="18" t="s">
        <v>12</v>
      </c>
      <c r="E1320" s="18" t="s">
        <v>2027</v>
      </c>
      <c r="F1320" s="12">
        <v>1</v>
      </c>
      <c r="G1320" s="3" t="s">
        <v>0</v>
      </c>
      <c r="H1320" s="49">
        <v>2014</v>
      </c>
      <c r="I1320" s="27" t="s">
        <v>984</v>
      </c>
      <c r="J1320" s="35" t="s">
        <v>2292</v>
      </c>
      <c r="K1320" s="49" t="s">
        <v>2061</v>
      </c>
      <c r="L1320" s="5" t="s">
        <v>2147</v>
      </c>
      <c r="M1320" s="72">
        <f t="shared" si="256"/>
        <v>34745.760000000002</v>
      </c>
      <c r="N1320" s="72">
        <f t="shared" si="253"/>
        <v>34745.760000000002</v>
      </c>
      <c r="O1320" s="72">
        <v>34745.760000000002</v>
      </c>
      <c r="P1320" s="72">
        <v>36780</v>
      </c>
      <c r="Q1320" s="256">
        <f t="shared" si="254"/>
        <v>8091.6</v>
      </c>
      <c r="R1320" s="256">
        <f t="shared" si="255"/>
        <v>44871.6</v>
      </c>
      <c r="S1320" s="296"/>
      <c r="T1320" s="3">
        <v>54</v>
      </c>
      <c r="U1320" s="293"/>
    </row>
    <row r="1321" spans="1:21" ht="15" customHeight="1" x14ac:dyDescent="0.35">
      <c r="A1321" s="218" t="s">
        <v>3635</v>
      </c>
      <c r="B1321" s="3">
        <v>1264</v>
      </c>
      <c r="C1321" s="44">
        <v>10036717</v>
      </c>
      <c r="D1321" s="18" t="s">
        <v>16</v>
      </c>
      <c r="E1321" s="18" t="s">
        <v>2027</v>
      </c>
      <c r="F1321" s="12">
        <v>1</v>
      </c>
      <c r="G1321" s="3" t="s">
        <v>0</v>
      </c>
      <c r="H1321" s="49">
        <v>2014</v>
      </c>
      <c r="I1321" s="27" t="s">
        <v>984</v>
      </c>
      <c r="J1321" s="5" t="s">
        <v>1962</v>
      </c>
      <c r="K1321" s="49" t="s">
        <v>2063</v>
      </c>
      <c r="L1321" s="5" t="s">
        <v>2147</v>
      </c>
      <c r="M1321" s="72">
        <f t="shared" si="256"/>
        <v>165</v>
      </c>
      <c r="N1321" s="72">
        <f t="shared" si="253"/>
        <v>165</v>
      </c>
      <c r="O1321" s="72">
        <v>165</v>
      </c>
      <c r="P1321" s="72">
        <v>170</v>
      </c>
      <c r="Q1321" s="256">
        <f t="shared" si="254"/>
        <v>37.4</v>
      </c>
      <c r="R1321" s="256">
        <f t="shared" si="255"/>
        <v>207.4</v>
      </c>
      <c r="S1321" s="296"/>
      <c r="T1321" s="3">
        <v>54</v>
      </c>
      <c r="U1321" s="293"/>
    </row>
    <row r="1322" spans="1:21" ht="15" customHeight="1" x14ac:dyDescent="0.35">
      <c r="A1322" s="218" t="s">
        <v>3636</v>
      </c>
      <c r="B1322" s="3">
        <v>1265</v>
      </c>
      <c r="C1322" s="44">
        <v>10113991</v>
      </c>
      <c r="D1322" s="18" t="s">
        <v>58</v>
      </c>
      <c r="E1322" s="18" t="s">
        <v>2027</v>
      </c>
      <c r="F1322" s="12">
        <v>3</v>
      </c>
      <c r="G1322" s="3" t="s">
        <v>0</v>
      </c>
      <c r="H1322" s="49">
        <v>2014</v>
      </c>
      <c r="I1322" s="27" t="s">
        <v>984</v>
      </c>
      <c r="J1322" s="5" t="s">
        <v>1962</v>
      </c>
      <c r="K1322" s="49" t="s">
        <v>2072</v>
      </c>
      <c r="L1322" s="5" t="s">
        <v>2147</v>
      </c>
      <c r="M1322" s="72">
        <f t="shared" si="256"/>
        <v>1120.1099999999999</v>
      </c>
      <c r="N1322" s="72">
        <f t="shared" si="253"/>
        <v>373.37</v>
      </c>
      <c r="O1322" s="72">
        <v>1120.1099999999999</v>
      </c>
      <c r="P1322" s="72">
        <v>1180</v>
      </c>
      <c r="Q1322" s="256">
        <f t="shared" si="254"/>
        <v>259.60000000000002</v>
      </c>
      <c r="R1322" s="256">
        <f t="shared" si="255"/>
        <v>1439.6</v>
      </c>
      <c r="S1322" s="296"/>
      <c r="T1322" s="3">
        <v>54</v>
      </c>
      <c r="U1322" s="293"/>
    </row>
    <row r="1323" spans="1:21" ht="15" customHeight="1" x14ac:dyDescent="0.35">
      <c r="A1323" s="218" t="s">
        <v>3637</v>
      </c>
      <c r="B1323" s="3">
        <v>1266</v>
      </c>
      <c r="C1323" s="44">
        <v>10100026</v>
      </c>
      <c r="D1323" s="18" t="s">
        <v>96</v>
      </c>
      <c r="E1323" s="18" t="s">
        <v>2027</v>
      </c>
      <c r="F1323" s="12">
        <f>28-26</f>
        <v>2</v>
      </c>
      <c r="G1323" s="3" t="s">
        <v>0</v>
      </c>
      <c r="H1323" s="49">
        <v>2014</v>
      </c>
      <c r="I1323" s="27" t="s">
        <v>984</v>
      </c>
      <c r="J1323" s="49" t="s">
        <v>2263</v>
      </c>
      <c r="K1323" s="49" t="s">
        <v>2086</v>
      </c>
      <c r="L1323" s="5" t="s">
        <v>2147</v>
      </c>
      <c r="M1323" s="72">
        <f t="shared" si="256"/>
        <v>762.94</v>
      </c>
      <c r="N1323" s="72">
        <f t="shared" si="253"/>
        <v>381.47</v>
      </c>
      <c r="O1323" s="72">
        <f>10681.18/28*2</f>
        <v>762.94</v>
      </c>
      <c r="P1323" s="72">
        <v>800</v>
      </c>
      <c r="Q1323" s="256">
        <f t="shared" si="254"/>
        <v>176</v>
      </c>
      <c r="R1323" s="256">
        <f t="shared" si="255"/>
        <v>976</v>
      </c>
      <c r="S1323" s="296"/>
      <c r="T1323" s="3">
        <v>54</v>
      </c>
      <c r="U1323" s="293"/>
    </row>
    <row r="1324" spans="1:21" ht="15" customHeight="1" x14ac:dyDescent="0.35">
      <c r="A1324" s="218" t="s">
        <v>4099</v>
      </c>
      <c r="B1324" s="3">
        <v>1267</v>
      </c>
      <c r="C1324" s="44">
        <v>10100026</v>
      </c>
      <c r="D1324" s="18" t="s">
        <v>96</v>
      </c>
      <c r="E1324" s="19" t="s">
        <v>2219</v>
      </c>
      <c r="F1324" s="12">
        <v>26</v>
      </c>
      <c r="G1324" s="3" t="s">
        <v>0</v>
      </c>
      <c r="H1324" s="49">
        <v>2014</v>
      </c>
      <c r="I1324" s="27" t="s">
        <v>984</v>
      </c>
      <c r="J1324" s="4" t="s">
        <v>1962</v>
      </c>
      <c r="K1324" s="4" t="s">
        <v>988</v>
      </c>
      <c r="L1324" s="29" t="s">
        <v>977</v>
      </c>
      <c r="M1324" s="72">
        <f t="shared" si="256"/>
        <v>9918.24</v>
      </c>
      <c r="N1324" s="72">
        <f t="shared" si="253"/>
        <v>381.47</v>
      </c>
      <c r="O1324" s="72">
        <v>9918.24</v>
      </c>
      <c r="P1324" s="72">
        <v>12200</v>
      </c>
      <c r="Q1324" s="256">
        <f t="shared" si="254"/>
        <v>2684</v>
      </c>
      <c r="R1324" s="256">
        <f t="shared" si="255"/>
        <v>14884</v>
      </c>
      <c r="S1324" s="296"/>
      <c r="T1324" s="3">
        <v>54</v>
      </c>
      <c r="U1324" s="293"/>
    </row>
    <row r="1325" spans="1:21" ht="15" customHeight="1" x14ac:dyDescent="0.35">
      <c r="A1325" s="218" t="s">
        <v>3638</v>
      </c>
      <c r="B1325" s="3">
        <v>1268</v>
      </c>
      <c r="C1325" s="44">
        <v>10017478</v>
      </c>
      <c r="D1325" s="18" t="s">
        <v>118</v>
      </c>
      <c r="E1325" s="18" t="s">
        <v>2027</v>
      </c>
      <c r="F1325" s="12">
        <v>102</v>
      </c>
      <c r="G1325" s="3" t="s">
        <v>0</v>
      </c>
      <c r="H1325" s="49">
        <v>2014</v>
      </c>
      <c r="I1325" s="27" t="s">
        <v>984</v>
      </c>
      <c r="J1325" s="5" t="s">
        <v>1962</v>
      </c>
      <c r="K1325" s="49" t="s">
        <v>2096</v>
      </c>
      <c r="L1325" s="5" t="s">
        <v>2147</v>
      </c>
      <c r="M1325" s="72">
        <f t="shared" si="256"/>
        <v>438600</v>
      </c>
      <c r="N1325" s="72">
        <f t="shared" si="253"/>
        <v>4300</v>
      </c>
      <c r="O1325" s="72">
        <v>438600</v>
      </c>
      <c r="P1325" s="72">
        <v>318850</v>
      </c>
      <c r="Q1325" s="256">
        <f t="shared" si="254"/>
        <v>70147</v>
      </c>
      <c r="R1325" s="256">
        <f t="shared" si="255"/>
        <v>388997</v>
      </c>
      <c r="S1325" s="296"/>
      <c r="T1325" s="3">
        <v>54</v>
      </c>
      <c r="U1325" s="293"/>
    </row>
    <row r="1326" spans="1:21" ht="32.5" customHeight="1" x14ac:dyDescent="0.35">
      <c r="A1326" s="218" t="s">
        <v>3639</v>
      </c>
      <c r="B1326" s="3">
        <v>1269</v>
      </c>
      <c r="C1326" s="44">
        <v>10142208</v>
      </c>
      <c r="D1326" s="18" t="s">
        <v>29</v>
      </c>
      <c r="E1326" s="18" t="s">
        <v>2027</v>
      </c>
      <c r="F1326" s="12">
        <v>1</v>
      </c>
      <c r="G1326" s="3" t="s">
        <v>0</v>
      </c>
      <c r="H1326" s="5" t="s">
        <v>517</v>
      </c>
      <c r="I1326" s="27" t="s">
        <v>984</v>
      </c>
      <c r="J1326" s="52" t="s">
        <v>2139</v>
      </c>
      <c r="K1326" s="61" t="s">
        <v>988</v>
      </c>
      <c r="L1326" s="5" t="s">
        <v>2147</v>
      </c>
      <c r="M1326" s="72">
        <f t="shared" si="256"/>
        <v>13251</v>
      </c>
      <c r="N1326" s="72">
        <f t="shared" si="253"/>
        <v>13251</v>
      </c>
      <c r="O1326" s="72">
        <v>13251</v>
      </c>
      <c r="P1326" s="72">
        <v>12530</v>
      </c>
      <c r="Q1326" s="256">
        <f t="shared" si="254"/>
        <v>2756.6</v>
      </c>
      <c r="R1326" s="256">
        <f t="shared" si="255"/>
        <v>15286.6</v>
      </c>
      <c r="S1326" s="297"/>
      <c r="T1326" s="3">
        <v>54</v>
      </c>
      <c r="U1326" s="293"/>
    </row>
    <row r="1327" spans="1:21" ht="15" customHeight="1" x14ac:dyDescent="0.35">
      <c r="A1327" s="218"/>
      <c r="B1327" s="94"/>
      <c r="C1327" s="44"/>
      <c r="D1327" s="18"/>
      <c r="E1327" s="18"/>
      <c r="F1327" s="12"/>
      <c r="G1327" s="3"/>
      <c r="H1327" s="5"/>
      <c r="I1327" s="27"/>
      <c r="J1327" s="52"/>
      <c r="K1327" s="61"/>
      <c r="L1327" s="5"/>
      <c r="M1327" s="72"/>
      <c r="N1327" s="72"/>
      <c r="O1327" s="82">
        <f>SUM(O1282:O1326)</f>
        <v>1385383.18</v>
      </c>
      <c r="P1327" s="276">
        <f t="shared" ref="P1327:Q1327" si="257">SUM(P1282:P1326)</f>
        <v>1025440</v>
      </c>
      <c r="Q1327" s="282">
        <f t="shared" si="257"/>
        <v>225596.79999999999</v>
      </c>
      <c r="R1327" s="282">
        <f>SUM(R1282:R1326)</f>
        <v>1251036.8</v>
      </c>
      <c r="S1327" s="286">
        <f>R1327/100*10</f>
        <v>125103.67999999999</v>
      </c>
      <c r="T1327" s="104">
        <v>54</v>
      </c>
      <c r="U1327" s="304"/>
    </row>
    <row r="1328" spans="1:21" ht="39" customHeight="1" x14ac:dyDescent="0.35">
      <c r="A1328" s="218" t="s">
        <v>3640</v>
      </c>
      <c r="B1328" s="3">
        <v>1270</v>
      </c>
      <c r="C1328" s="44">
        <v>10019464</v>
      </c>
      <c r="D1328" s="18" t="s">
        <v>1532</v>
      </c>
      <c r="E1328" s="19" t="s">
        <v>2219</v>
      </c>
      <c r="F1328" s="12">
        <v>1</v>
      </c>
      <c r="G1328" s="3" t="s">
        <v>0</v>
      </c>
      <c r="H1328" s="39">
        <v>40863</v>
      </c>
      <c r="I1328" s="27" t="s">
        <v>984</v>
      </c>
      <c r="J1328" s="4" t="s">
        <v>1962</v>
      </c>
      <c r="K1328" s="4" t="s">
        <v>988</v>
      </c>
      <c r="L1328" s="29" t="s">
        <v>977</v>
      </c>
      <c r="M1328" s="78">
        <f t="shared" si="256"/>
        <v>5799.64</v>
      </c>
      <c r="N1328" s="78">
        <f>O1328/F1328</f>
        <v>5799.64</v>
      </c>
      <c r="O1328" s="78">
        <v>5799.64</v>
      </c>
      <c r="P1328" s="72">
        <v>11830</v>
      </c>
      <c r="Q1328" s="256">
        <f>R1328-P1328</f>
        <v>2602.6</v>
      </c>
      <c r="R1328" s="256">
        <f>P1328*1.22</f>
        <v>14432.6</v>
      </c>
      <c r="S1328" s="289"/>
      <c r="T1328" s="3">
        <v>55</v>
      </c>
      <c r="U1328" s="292" t="s">
        <v>2332</v>
      </c>
    </row>
    <row r="1329" spans="1:21" ht="15" customHeight="1" x14ac:dyDescent="0.35">
      <c r="A1329" s="218" t="s">
        <v>3641</v>
      </c>
      <c r="B1329" s="3">
        <v>1271</v>
      </c>
      <c r="C1329" s="44">
        <v>10056964</v>
      </c>
      <c r="D1329" s="18" t="s">
        <v>1550</v>
      </c>
      <c r="E1329" s="18" t="s">
        <v>2027</v>
      </c>
      <c r="F1329" s="12">
        <v>1</v>
      </c>
      <c r="G1329" s="3" t="s">
        <v>0</v>
      </c>
      <c r="H1329" s="39">
        <v>41182</v>
      </c>
      <c r="I1329" s="27" t="s">
        <v>984</v>
      </c>
      <c r="J1329" s="4" t="s">
        <v>1972</v>
      </c>
      <c r="K1329" s="4" t="s">
        <v>988</v>
      </c>
      <c r="L1329" s="29" t="s">
        <v>977</v>
      </c>
      <c r="M1329" s="78">
        <f t="shared" si="256"/>
        <v>11719.49</v>
      </c>
      <c r="N1329" s="78">
        <f>O1329/F1329</f>
        <v>11719.49</v>
      </c>
      <c r="O1329" s="78">
        <v>11719.49</v>
      </c>
      <c r="P1329" s="72">
        <v>22610</v>
      </c>
      <c r="Q1329" s="256">
        <f>R1329-P1329</f>
        <v>4974.2</v>
      </c>
      <c r="R1329" s="256">
        <f>P1329*1.22</f>
        <v>27584.2</v>
      </c>
      <c r="S1329" s="296"/>
      <c r="T1329" s="3">
        <v>55</v>
      </c>
      <c r="U1329" s="293"/>
    </row>
    <row r="1330" spans="1:21" ht="15" customHeight="1" x14ac:dyDescent="0.35">
      <c r="A1330" s="218" t="s">
        <v>3642</v>
      </c>
      <c r="B1330" s="3">
        <v>1272</v>
      </c>
      <c r="C1330" s="44">
        <v>10122615</v>
      </c>
      <c r="D1330" s="18" t="s">
        <v>1551</v>
      </c>
      <c r="E1330" s="18" t="s">
        <v>2027</v>
      </c>
      <c r="F1330" s="12">
        <v>4</v>
      </c>
      <c r="G1330" s="3" t="s">
        <v>0</v>
      </c>
      <c r="H1330" s="39">
        <v>40949</v>
      </c>
      <c r="I1330" s="27" t="s">
        <v>984</v>
      </c>
      <c r="J1330" s="4" t="s">
        <v>1972</v>
      </c>
      <c r="K1330" s="4" t="s">
        <v>988</v>
      </c>
      <c r="L1330" s="29" t="s">
        <v>977</v>
      </c>
      <c r="M1330" s="78">
        <f t="shared" si="256"/>
        <v>78343.199999999997</v>
      </c>
      <c r="N1330" s="78">
        <f>O1330/F1330</f>
        <v>19585.8</v>
      </c>
      <c r="O1330" s="78">
        <v>78343.199999999997</v>
      </c>
      <c r="P1330" s="72">
        <v>158960</v>
      </c>
      <c r="Q1330" s="256">
        <f>R1330-P1330</f>
        <v>34971.199999999997</v>
      </c>
      <c r="R1330" s="256">
        <f>P1330*1.22</f>
        <v>193931.2</v>
      </c>
      <c r="S1330" s="296"/>
      <c r="T1330" s="3">
        <v>55</v>
      </c>
      <c r="U1330" s="293"/>
    </row>
    <row r="1331" spans="1:21" ht="15" customHeight="1" x14ac:dyDescent="0.35">
      <c r="A1331" s="218" t="s">
        <v>3643</v>
      </c>
      <c r="B1331" s="3">
        <v>1273</v>
      </c>
      <c r="C1331" s="44">
        <v>10108547</v>
      </c>
      <c r="D1331" s="18" t="s">
        <v>1552</v>
      </c>
      <c r="E1331" s="18" t="s">
        <v>2027</v>
      </c>
      <c r="F1331" s="12">
        <v>2</v>
      </c>
      <c r="G1331" s="3" t="s">
        <v>0</v>
      </c>
      <c r="H1331" s="39">
        <v>40353</v>
      </c>
      <c r="I1331" s="27" t="s">
        <v>984</v>
      </c>
      <c r="J1331" s="4" t="s">
        <v>1972</v>
      </c>
      <c r="K1331" s="4" t="s">
        <v>988</v>
      </c>
      <c r="L1331" s="29" t="s">
        <v>977</v>
      </c>
      <c r="M1331" s="78">
        <f t="shared" si="256"/>
        <v>31955.34</v>
      </c>
      <c r="N1331" s="78">
        <f>O1331/F1331</f>
        <v>15977.67</v>
      </c>
      <c r="O1331" s="78">
        <v>31955.34</v>
      </c>
      <c r="P1331" s="72">
        <v>69130</v>
      </c>
      <c r="Q1331" s="256">
        <f>R1331-P1331</f>
        <v>15208.6</v>
      </c>
      <c r="R1331" s="256">
        <f>P1331*1.22</f>
        <v>84338.6</v>
      </c>
      <c r="S1331" s="296"/>
      <c r="T1331" s="3">
        <v>55</v>
      </c>
      <c r="U1331" s="293"/>
    </row>
    <row r="1332" spans="1:21" ht="15" customHeight="1" x14ac:dyDescent="0.35">
      <c r="A1332" s="218" t="s">
        <v>3644</v>
      </c>
      <c r="B1332" s="3">
        <v>1274</v>
      </c>
      <c r="C1332" s="44">
        <v>10108628</v>
      </c>
      <c r="D1332" s="18" t="s">
        <v>1553</v>
      </c>
      <c r="E1332" s="18" t="s">
        <v>2027</v>
      </c>
      <c r="F1332" s="12">
        <v>1</v>
      </c>
      <c r="G1332" s="3" t="s">
        <v>0</v>
      </c>
      <c r="H1332" s="39">
        <v>40353</v>
      </c>
      <c r="I1332" s="27" t="s">
        <v>984</v>
      </c>
      <c r="J1332" s="4" t="s">
        <v>1972</v>
      </c>
      <c r="K1332" s="4" t="s">
        <v>988</v>
      </c>
      <c r="L1332" s="29" t="s">
        <v>977</v>
      </c>
      <c r="M1332" s="78">
        <f t="shared" si="256"/>
        <v>15977.67</v>
      </c>
      <c r="N1332" s="78">
        <f>O1332/F1332</f>
        <v>15977.67</v>
      </c>
      <c r="O1332" s="78">
        <v>15977.67</v>
      </c>
      <c r="P1332" s="72">
        <v>11720</v>
      </c>
      <c r="Q1332" s="256">
        <f>R1332-P1332</f>
        <v>2578.4</v>
      </c>
      <c r="R1332" s="256">
        <f>P1332*1.22</f>
        <v>14298.4</v>
      </c>
      <c r="S1332" s="297"/>
      <c r="T1332" s="3">
        <v>55</v>
      </c>
      <c r="U1332" s="293"/>
    </row>
    <row r="1333" spans="1:21" ht="15" customHeight="1" x14ac:dyDescent="0.35">
      <c r="A1333" s="218"/>
      <c r="B1333" s="94"/>
      <c r="C1333" s="44"/>
      <c r="D1333" s="18"/>
      <c r="E1333" s="18"/>
      <c r="F1333" s="12"/>
      <c r="G1333" s="3"/>
      <c r="H1333" s="39"/>
      <c r="I1333" s="27"/>
      <c r="J1333" s="4"/>
      <c r="K1333" s="4"/>
      <c r="L1333" s="29"/>
      <c r="M1333" s="78"/>
      <c r="N1333" s="78"/>
      <c r="O1333" s="108">
        <f>SUM(O1328:O1332)</f>
        <v>143795.34</v>
      </c>
      <c r="P1333" s="276">
        <f t="shared" ref="P1333:Q1333" si="258">SUM(P1328:P1332)</f>
        <v>274250</v>
      </c>
      <c r="Q1333" s="282">
        <f t="shared" si="258"/>
        <v>60335</v>
      </c>
      <c r="R1333" s="282">
        <f>SUM(R1328:R1332)</f>
        <v>334585</v>
      </c>
      <c r="S1333" s="286">
        <f>R1333/100*10</f>
        <v>33458.5</v>
      </c>
      <c r="T1333" s="104">
        <v>55</v>
      </c>
      <c r="U1333" s="304"/>
    </row>
    <row r="1334" spans="1:21" ht="15" customHeight="1" x14ac:dyDescent="0.35">
      <c r="A1334" s="218" t="s">
        <v>3645</v>
      </c>
      <c r="B1334" s="3">
        <v>1275</v>
      </c>
      <c r="C1334" s="45">
        <v>10123798</v>
      </c>
      <c r="D1334" s="2" t="s">
        <v>571</v>
      </c>
      <c r="E1334" s="18" t="s">
        <v>711</v>
      </c>
      <c r="F1334" s="12">
        <v>1</v>
      </c>
      <c r="G1334" s="3" t="s">
        <v>0</v>
      </c>
      <c r="H1334" s="5">
        <v>42004</v>
      </c>
      <c r="I1334" s="30" t="s">
        <v>1003</v>
      </c>
      <c r="J1334" s="4" t="s">
        <v>1962</v>
      </c>
      <c r="K1334" s="14" t="s">
        <v>823</v>
      </c>
      <c r="L1334" s="3" t="s">
        <v>871</v>
      </c>
      <c r="M1334" s="72">
        <f t="shared" si="256"/>
        <v>2475.36</v>
      </c>
      <c r="N1334" s="72">
        <f>O1334/F1334</f>
        <v>2475.36</v>
      </c>
      <c r="O1334" s="72">
        <v>2475.36</v>
      </c>
      <c r="P1334" s="72">
        <v>960</v>
      </c>
      <c r="Q1334" s="256">
        <f>R1334-P1334</f>
        <v>211.2</v>
      </c>
      <c r="R1334" s="256">
        <f>P1334*1.22</f>
        <v>1171.2</v>
      </c>
      <c r="S1334" s="289"/>
      <c r="T1334" s="3">
        <v>56</v>
      </c>
      <c r="U1334" s="292" t="s">
        <v>2333</v>
      </c>
    </row>
    <row r="1335" spans="1:21" ht="15" customHeight="1" x14ac:dyDescent="0.35">
      <c r="A1335" s="218" t="s">
        <v>3646</v>
      </c>
      <c r="B1335" s="3">
        <v>1276</v>
      </c>
      <c r="C1335" s="45">
        <v>10123797</v>
      </c>
      <c r="D1335" s="2" t="s">
        <v>663</v>
      </c>
      <c r="E1335" s="18" t="s">
        <v>711</v>
      </c>
      <c r="F1335" s="7">
        <v>4</v>
      </c>
      <c r="G1335" s="3" t="s">
        <v>0</v>
      </c>
      <c r="H1335" s="5">
        <v>42004</v>
      </c>
      <c r="I1335" s="30" t="s">
        <v>1003</v>
      </c>
      <c r="J1335" s="4" t="s">
        <v>1962</v>
      </c>
      <c r="K1335" s="14" t="s">
        <v>690</v>
      </c>
      <c r="L1335" s="3" t="s">
        <v>871</v>
      </c>
      <c r="M1335" s="72">
        <f t="shared" si="256"/>
        <v>5269.6</v>
      </c>
      <c r="N1335" s="72">
        <f>O1335/F1335</f>
        <v>1317.4</v>
      </c>
      <c r="O1335" s="72">
        <v>5269.6</v>
      </c>
      <c r="P1335" s="72">
        <v>3830</v>
      </c>
      <c r="Q1335" s="256">
        <f>R1335-P1335</f>
        <v>842.6</v>
      </c>
      <c r="R1335" s="256">
        <f>P1335*1.22</f>
        <v>4672.6000000000004</v>
      </c>
      <c r="S1335" s="297"/>
      <c r="T1335" s="3">
        <v>56</v>
      </c>
      <c r="U1335" s="293"/>
    </row>
    <row r="1336" spans="1:21" ht="15" customHeight="1" x14ac:dyDescent="0.35">
      <c r="A1336" s="218"/>
      <c r="B1336" s="94"/>
      <c r="C1336" s="45"/>
      <c r="D1336" s="2"/>
      <c r="E1336" s="18"/>
      <c r="F1336" s="7"/>
      <c r="G1336" s="3"/>
      <c r="H1336" s="5"/>
      <c r="I1336" s="30"/>
      <c r="J1336" s="4"/>
      <c r="K1336" s="14"/>
      <c r="L1336" s="3"/>
      <c r="M1336" s="72"/>
      <c r="N1336" s="72"/>
      <c r="O1336" s="82">
        <f>SUM(O1334:O1335)</f>
        <v>7744.96</v>
      </c>
      <c r="P1336" s="276">
        <f t="shared" ref="P1336:Q1336" si="259">SUM(P1334:P1335)</f>
        <v>4790</v>
      </c>
      <c r="Q1336" s="282">
        <f t="shared" si="259"/>
        <v>1053.8</v>
      </c>
      <c r="R1336" s="282">
        <f>SUM(R1334:R1335)</f>
        <v>5843.8</v>
      </c>
      <c r="S1336" s="286">
        <f>R1336/100*10</f>
        <v>584.38</v>
      </c>
      <c r="T1336" s="104">
        <v>56</v>
      </c>
      <c r="U1336" s="304"/>
    </row>
    <row r="1337" spans="1:21" ht="15" customHeight="1" x14ac:dyDescent="0.35">
      <c r="A1337" s="218" t="s">
        <v>3647</v>
      </c>
      <c r="B1337" s="3">
        <v>1277</v>
      </c>
      <c r="C1337" s="44">
        <v>10119139</v>
      </c>
      <c r="D1337" s="18" t="s">
        <v>1565</v>
      </c>
      <c r="E1337" s="18" t="s">
        <v>2027</v>
      </c>
      <c r="F1337" s="12">
        <v>9</v>
      </c>
      <c r="G1337" s="3" t="s">
        <v>0</v>
      </c>
      <c r="H1337" s="39">
        <v>37622</v>
      </c>
      <c r="I1337" s="27" t="s">
        <v>984</v>
      </c>
      <c r="J1337" s="4" t="s">
        <v>1962</v>
      </c>
      <c r="K1337" s="4" t="s">
        <v>988</v>
      </c>
      <c r="L1337" s="29" t="s">
        <v>977</v>
      </c>
      <c r="M1337" s="78">
        <v>15318</v>
      </c>
      <c r="N1337" s="78">
        <v>1702</v>
      </c>
      <c r="O1337" s="78">
        <v>15318</v>
      </c>
      <c r="P1337" s="72">
        <v>33240</v>
      </c>
      <c r="Q1337" s="256">
        <f>R1337-P1337</f>
        <v>7312.8</v>
      </c>
      <c r="R1337" s="256">
        <f>P1337*1.22</f>
        <v>40552.800000000003</v>
      </c>
      <c r="S1337" s="289"/>
      <c r="T1337" s="3">
        <v>57</v>
      </c>
      <c r="U1337" s="292" t="s">
        <v>2334</v>
      </c>
    </row>
    <row r="1338" spans="1:21" ht="15" customHeight="1" x14ac:dyDescent="0.35">
      <c r="A1338" s="218" t="s">
        <v>3648</v>
      </c>
      <c r="B1338" s="3">
        <v>1278</v>
      </c>
      <c r="C1338" s="44">
        <v>10094559</v>
      </c>
      <c r="D1338" s="18" t="s">
        <v>1745</v>
      </c>
      <c r="E1338" s="18" t="s">
        <v>2027</v>
      </c>
      <c r="F1338" s="12">
        <f>22-4-17</f>
        <v>1</v>
      </c>
      <c r="G1338" s="3" t="s">
        <v>0</v>
      </c>
      <c r="H1338" s="39">
        <v>39448</v>
      </c>
      <c r="I1338" s="27" t="s">
        <v>984</v>
      </c>
      <c r="J1338" s="4" t="s">
        <v>1986</v>
      </c>
      <c r="K1338" s="4" t="s">
        <v>988</v>
      </c>
      <c r="L1338" s="29" t="s">
        <v>977</v>
      </c>
      <c r="M1338" s="78">
        <f t="shared" ref="M1338:M1354" si="260">O1338</f>
        <v>882.24</v>
      </c>
      <c r="N1338" s="78">
        <f>O1338/F1338</f>
        <v>882.24</v>
      </c>
      <c r="O1338" s="78">
        <f>19409.31/22*1</f>
        <v>882.24</v>
      </c>
      <c r="P1338" s="72">
        <v>1310</v>
      </c>
      <c r="Q1338" s="256">
        <f>R1338-P1338</f>
        <v>288.2</v>
      </c>
      <c r="R1338" s="256">
        <f>P1338*1.22</f>
        <v>1598.2</v>
      </c>
      <c r="S1338" s="296"/>
      <c r="T1338" s="3">
        <v>57</v>
      </c>
      <c r="U1338" s="293"/>
    </row>
    <row r="1339" spans="1:21" ht="15" customHeight="1" x14ac:dyDescent="0.35">
      <c r="A1339" s="218" t="s">
        <v>4100</v>
      </c>
      <c r="B1339" s="3">
        <v>1279</v>
      </c>
      <c r="C1339" s="44">
        <v>10094559</v>
      </c>
      <c r="D1339" s="18" t="s">
        <v>1745</v>
      </c>
      <c r="E1339" s="19" t="s">
        <v>2219</v>
      </c>
      <c r="F1339" s="12">
        <v>17</v>
      </c>
      <c r="G1339" s="3" t="s">
        <v>0</v>
      </c>
      <c r="H1339" s="39">
        <v>39448</v>
      </c>
      <c r="I1339" s="27" t="s">
        <v>984</v>
      </c>
      <c r="J1339" s="4" t="s">
        <v>1962</v>
      </c>
      <c r="K1339" s="4" t="s">
        <v>988</v>
      </c>
      <c r="L1339" s="29" t="s">
        <v>977</v>
      </c>
      <c r="M1339" s="78">
        <f>O1339</f>
        <v>14998.1</v>
      </c>
      <c r="N1339" s="78">
        <f>M1339/F1339</f>
        <v>882.24</v>
      </c>
      <c r="O1339" s="78">
        <v>14998.1</v>
      </c>
      <c r="P1339" s="72">
        <v>22220</v>
      </c>
      <c r="Q1339" s="256">
        <f>R1339-P1339</f>
        <v>4888.3999999999996</v>
      </c>
      <c r="R1339" s="256">
        <f>P1339*1.22</f>
        <v>27108.400000000001</v>
      </c>
      <c r="S1339" s="297"/>
      <c r="T1339" s="3">
        <v>57</v>
      </c>
      <c r="U1339" s="293"/>
    </row>
    <row r="1340" spans="1:21" ht="15" customHeight="1" x14ac:dyDescent="0.35">
      <c r="A1340" s="218"/>
      <c r="B1340" s="94"/>
      <c r="C1340" s="44"/>
      <c r="D1340" s="18"/>
      <c r="E1340" s="18"/>
      <c r="F1340" s="12"/>
      <c r="G1340" s="3"/>
      <c r="H1340" s="39"/>
      <c r="I1340" s="27"/>
      <c r="J1340" s="4"/>
      <c r="K1340" s="4"/>
      <c r="L1340" s="29"/>
      <c r="M1340" s="78"/>
      <c r="N1340" s="78"/>
      <c r="O1340" s="108">
        <f>SUM(O1337:O1339)</f>
        <v>31198.34</v>
      </c>
      <c r="P1340" s="276">
        <f t="shared" ref="P1340:Q1340" si="261">SUM(P1337:P1339)</f>
        <v>56770</v>
      </c>
      <c r="Q1340" s="282">
        <f t="shared" si="261"/>
        <v>12489.4</v>
      </c>
      <c r="R1340" s="282">
        <f>SUM(R1337:R1339)</f>
        <v>69259.399999999994</v>
      </c>
      <c r="S1340" s="286">
        <f>R1340/100*10</f>
        <v>6925.94</v>
      </c>
      <c r="T1340" s="104">
        <v>57</v>
      </c>
      <c r="U1340" s="304"/>
    </row>
    <row r="1341" spans="1:21" ht="15" customHeight="1" x14ac:dyDescent="0.35">
      <c r="A1341" s="218" t="s">
        <v>3649</v>
      </c>
      <c r="B1341" s="3">
        <v>1280</v>
      </c>
      <c r="C1341" s="45">
        <v>10138625</v>
      </c>
      <c r="D1341" s="2" t="s">
        <v>582</v>
      </c>
      <c r="E1341" s="18" t="s">
        <v>711</v>
      </c>
      <c r="F1341" s="12">
        <v>1</v>
      </c>
      <c r="G1341" s="3" t="s">
        <v>0</v>
      </c>
      <c r="H1341" s="5">
        <v>42004</v>
      </c>
      <c r="I1341" s="30" t="s">
        <v>1003</v>
      </c>
      <c r="J1341" s="4" t="s">
        <v>1962</v>
      </c>
      <c r="K1341" s="14" t="s">
        <v>825</v>
      </c>
      <c r="L1341" s="3" t="s">
        <v>871</v>
      </c>
      <c r="M1341" s="72">
        <f t="shared" si="260"/>
        <v>12555.38</v>
      </c>
      <c r="N1341" s="72">
        <f>O1341/F1341</f>
        <v>12555.38</v>
      </c>
      <c r="O1341" s="72">
        <v>12555.38</v>
      </c>
      <c r="P1341" s="72">
        <v>7890</v>
      </c>
      <c r="Q1341" s="256">
        <f>R1341-P1341</f>
        <v>1735.8</v>
      </c>
      <c r="R1341" s="256">
        <f>P1341*1.22</f>
        <v>9625.7999999999993</v>
      </c>
      <c r="S1341" s="289"/>
      <c r="T1341" s="3">
        <v>58</v>
      </c>
      <c r="U1341" s="292" t="s">
        <v>2334</v>
      </c>
    </row>
    <row r="1342" spans="1:21" ht="15" customHeight="1" x14ac:dyDescent="0.35">
      <c r="A1342" s="218" t="s">
        <v>3650</v>
      </c>
      <c r="B1342" s="3">
        <v>1281</v>
      </c>
      <c r="C1342" s="44">
        <v>10090763</v>
      </c>
      <c r="D1342" s="18" t="s">
        <v>1287</v>
      </c>
      <c r="E1342" s="18" t="s">
        <v>2213</v>
      </c>
      <c r="F1342" s="12">
        <v>1</v>
      </c>
      <c r="G1342" s="3" t="s">
        <v>0</v>
      </c>
      <c r="H1342" s="5">
        <v>41173</v>
      </c>
      <c r="I1342" s="5" t="s">
        <v>2209</v>
      </c>
      <c r="J1342" s="4" t="s">
        <v>1962</v>
      </c>
      <c r="K1342" s="62" t="s">
        <v>1334</v>
      </c>
      <c r="L1342" s="6" t="s">
        <v>871</v>
      </c>
      <c r="M1342" s="81">
        <f t="shared" si="260"/>
        <v>4703.3900000000003</v>
      </c>
      <c r="N1342" s="81">
        <f>O1342/F1342</f>
        <v>4703.3900000000003</v>
      </c>
      <c r="O1342" s="81">
        <v>4703.3900000000003</v>
      </c>
      <c r="P1342" s="72">
        <v>3040</v>
      </c>
      <c r="Q1342" s="256">
        <f>R1342-P1342</f>
        <v>668.8</v>
      </c>
      <c r="R1342" s="256">
        <f>P1342*1.22</f>
        <v>3708.8</v>
      </c>
      <c r="S1342" s="296"/>
      <c r="T1342" s="3">
        <v>58</v>
      </c>
      <c r="U1342" s="293"/>
    </row>
    <row r="1343" spans="1:21" ht="15" customHeight="1" x14ac:dyDescent="0.35">
      <c r="A1343" s="218" t="s">
        <v>3651</v>
      </c>
      <c r="B1343" s="3">
        <v>1282</v>
      </c>
      <c r="C1343" s="44">
        <v>10090847</v>
      </c>
      <c r="D1343" s="18" t="s">
        <v>1300</v>
      </c>
      <c r="E1343" s="18" t="s">
        <v>2213</v>
      </c>
      <c r="F1343" s="12">
        <v>1</v>
      </c>
      <c r="G1343" s="3" t="s">
        <v>0</v>
      </c>
      <c r="H1343" s="3">
        <v>2014</v>
      </c>
      <c r="I1343" s="5" t="s">
        <v>2209</v>
      </c>
      <c r="J1343" s="4" t="s">
        <v>1962</v>
      </c>
      <c r="K1343" s="49" t="s">
        <v>988</v>
      </c>
      <c r="L1343" s="6" t="s">
        <v>871</v>
      </c>
      <c r="M1343" s="81">
        <f t="shared" si="260"/>
        <v>5232</v>
      </c>
      <c r="N1343" s="81">
        <f>O1343/F1343</f>
        <v>5232</v>
      </c>
      <c r="O1343" s="81">
        <v>5232</v>
      </c>
      <c r="P1343" s="72">
        <v>4780</v>
      </c>
      <c r="Q1343" s="256">
        <f>R1343-P1343</f>
        <v>1051.5999999999999</v>
      </c>
      <c r="R1343" s="256">
        <f>P1343*1.22</f>
        <v>5831.6</v>
      </c>
      <c r="S1343" s="296"/>
      <c r="T1343" s="3">
        <v>58</v>
      </c>
      <c r="U1343" s="293"/>
    </row>
    <row r="1344" spans="1:21" ht="15" customHeight="1" x14ac:dyDescent="0.35">
      <c r="A1344" s="218" t="s">
        <v>3652</v>
      </c>
      <c r="B1344" s="3">
        <v>1283</v>
      </c>
      <c r="C1344" s="44">
        <v>10015311</v>
      </c>
      <c r="D1344" s="18" t="s">
        <v>1301</v>
      </c>
      <c r="E1344" s="18" t="s">
        <v>2213</v>
      </c>
      <c r="F1344" s="12">
        <v>4</v>
      </c>
      <c r="G1344" s="3" t="s">
        <v>0</v>
      </c>
      <c r="H1344" s="3">
        <v>2014</v>
      </c>
      <c r="I1344" s="5" t="s">
        <v>2209</v>
      </c>
      <c r="J1344" s="4" t="s">
        <v>1962</v>
      </c>
      <c r="K1344" s="49" t="s">
        <v>988</v>
      </c>
      <c r="L1344" s="6" t="s">
        <v>871</v>
      </c>
      <c r="M1344" s="81">
        <f t="shared" si="260"/>
        <v>175620.2</v>
      </c>
      <c r="N1344" s="81">
        <f>O1344/F1344</f>
        <v>43905.05</v>
      </c>
      <c r="O1344" s="81">
        <v>175620.2</v>
      </c>
      <c r="P1344" s="72">
        <v>153720</v>
      </c>
      <c r="Q1344" s="256">
        <f>R1344-P1344</f>
        <v>33818.400000000001</v>
      </c>
      <c r="R1344" s="256">
        <f>P1344*1.22</f>
        <v>187538.4</v>
      </c>
      <c r="S1344" s="296"/>
      <c r="T1344" s="3">
        <v>58</v>
      </c>
      <c r="U1344" s="293"/>
    </row>
    <row r="1345" spans="1:21" ht="15" customHeight="1" x14ac:dyDescent="0.35">
      <c r="A1345" s="218" t="s">
        <v>3653</v>
      </c>
      <c r="B1345" s="3">
        <v>1284</v>
      </c>
      <c r="C1345" s="44">
        <v>10013990</v>
      </c>
      <c r="D1345" s="18" t="s">
        <v>113</v>
      </c>
      <c r="E1345" s="18" t="s">
        <v>2027</v>
      </c>
      <c r="F1345" s="12">
        <v>65</v>
      </c>
      <c r="G1345" s="3" t="s">
        <v>0</v>
      </c>
      <c r="H1345" s="49">
        <v>2014</v>
      </c>
      <c r="I1345" s="27" t="s">
        <v>984</v>
      </c>
      <c r="J1345" s="5" t="s">
        <v>1962</v>
      </c>
      <c r="K1345" s="49" t="s">
        <v>2094</v>
      </c>
      <c r="L1345" s="5" t="s">
        <v>2147</v>
      </c>
      <c r="M1345" s="72">
        <f t="shared" si="260"/>
        <v>4260.75</v>
      </c>
      <c r="N1345" s="72">
        <f>O1345/F1345</f>
        <v>65.55</v>
      </c>
      <c r="O1345" s="72">
        <v>4260.75</v>
      </c>
      <c r="P1345" s="72">
        <v>5530</v>
      </c>
      <c r="Q1345" s="256">
        <f>R1345-P1345</f>
        <v>1216.5999999999999</v>
      </c>
      <c r="R1345" s="256">
        <f>P1345*1.22</f>
        <v>6746.6</v>
      </c>
      <c r="S1345" s="297"/>
      <c r="T1345" s="3">
        <v>58</v>
      </c>
      <c r="U1345" s="293"/>
    </row>
    <row r="1346" spans="1:21" ht="15" customHeight="1" x14ac:dyDescent="0.35">
      <c r="A1346" s="218"/>
      <c r="B1346" s="94"/>
      <c r="C1346" s="44"/>
      <c r="D1346" s="18"/>
      <c r="E1346" s="18"/>
      <c r="F1346" s="12"/>
      <c r="G1346" s="3"/>
      <c r="H1346" s="49"/>
      <c r="I1346" s="27"/>
      <c r="J1346" s="5"/>
      <c r="K1346" s="49"/>
      <c r="L1346" s="5"/>
      <c r="M1346" s="72"/>
      <c r="N1346" s="72"/>
      <c r="O1346" s="82">
        <f>SUM(O1341:O1345)</f>
        <v>202371.72</v>
      </c>
      <c r="P1346" s="276">
        <f t="shared" ref="P1346:Q1346" si="262">SUM(P1341:P1345)</f>
        <v>174960</v>
      </c>
      <c r="Q1346" s="282">
        <f t="shared" si="262"/>
        <v>38491.199999999997</v>
      </c>
      <c r="R1346" s="282">
        <f>SUM(R1341:R1345)</f>
        <v>213451.2</v>
      </c>
      <c r="S1346" s="286">
        <f>R1346/100*10</f>
        <v>21345.119999999999</v>
      </c>
      <c r="T1346" s="104">
        <v>58</v>
      </c>
      <c r="U1346" s="304"/>
    </row>
    <row r="1347" spans="1:21" ht="15" customHeight="1" x14ac:dyDescent="0.35">
      <c r="A1347" s="218" t="s">
        <v>3654</v>
      </c>
      <c r="B1347" s="3">
        <v>1285</v>
      </c>
      <c r="C1347" s="44">
        <v>10025222</v>
      </c>
      <c r="D1347" s="18" t="s">
        <v>1478</v>
      </c>
      <c r="E1347" s="19" t="s">
        <v>2219</v>
      </c>
      <c r="F1347" s="12">
        <v>6</v>
      </c>
      <c r="G1347" s="3" t="s">
        <v>0</v>
      </c>
      <c r="H1347" s="39">
        <v>40156</v>
      </c>
      <c r="I1347" s="27" t="s">
        <v>984</v>
      </c>
      <c r="J1347" s="4" t="s">
        <v>1533</v>
      </c>
      <c r="K1347" s="4" t="s">
        <v>988</v>
      </c>
      <c r="L1347" s="29" t="s">
        <v>977</v>
      </c>
      <c r="M1347" s="78">
        <f t="shared" si="260"/>
        <v>134.74</v>
      </c>
      <c r="N1347" s="78">
        <f>O1347/F1347</f>
        <v>22.46</v>
      </c>
      <c r="O1347" s="78">
        <v>134.74</v>
      </c>
      <c r="P1347" s="72">
        <v>310</v>
      </c>
      <c r="Q1347" s="256">
        <f>R1347-P1347</f>
        <v>68.2</v>
      </c>
      <c r="R1347" s="256">
        <f>P1347*1.22</f>
        <v>378.2</v>
      </c>
      <c r="S1347" s="289"/>
      <c r="T1347" s="3">
        <v>59</v>
      </c>
      <c r="U1347" s="292" t="s">
        <v>2335</v>
      </c>
    </row>
    <row r="1348" spans="1:21" ht="15" customHeight="1" x14ac:dyDescent="0.35">
      <c r="A1348" s="218" t="s">
        <v>3655</v>
      </c>
      <c r="B1348" s="3">
        <v>1286</v>
      </c>
      <c r="C1348" s="44">
        <v>10038939</v>
      </c>
      <c r="D1348" s="18" t="s">
        <v>1578</v>
      </c>
      <c r="E1348" s="18" t="s">
        <v>2027</v>
      </c>
      <c r="F1348" s="12">
        <v>75</v>
      </c>
      <c r="G1348" s="3" t="s">
        <v>17</v>
      </c>
      <c r="H1348" s="39">
        <v>41431</v>
      </c>
      <c r="I1348" s="27" t="s">
        <v>984</v>
      </c>
      <c r="J1348" s="4" t="s">
        <v>1962</v>
      </c>
      <c r="K1348" s="4" t="s">
        <v>988</v>
      </c>
      <c r="L1348" s="29" t="s">
        <v>977</v>
      </c>
      <c r="M1348" s="78">
        <f t="shared" si="260"/>
        <v>762.75</v>
      </c>
      <c r="N1348" s="78">
        <f>O1348/F1348</f>
        <v>10.17</v>
      </c>
      <c r="O1348" s="78">
        <v>762.75</v>
      </c>
      <c r="P1348" s="72">
        <v>1470</v>
      </c>
      <c r="Q1348" s="256">
        <f>R1348-P1348</f>
        <v>323.39999999999998</v>
      </c>
      <c r="R1348" s="256">
        <f>P1348*1.22</f>
        <v>1793.4</v>
      </c>
      <c r="S1348" s="296"/>
      <c r="T1348" s="3">
        <v>59</v>
      </c>
      <c r="U1348" s="293"/>
    </row>
    <row r="1349" spans="1:21" ht="15" customHeight="1" x14ac:dyDescent="0.35">
      <c r="A1349" s="218" t="s">
        <v>3656</v>
      </c>
      <c r="B1349" s="3">
        <v>1287</v>
      </c>
      <c r="C1349" s="44">
        <v>10095991</v>
      </c>
      <c r="D1349" s="18" t="s">
        <v>1581</v>
      </c>
      <c r="E1349" s="18" t="s">
        <v>2027</v>
      </c>
      <c r="F1349" s="12">
        <v>8</v>
      </c>
      <c r="G1349" s="3" t="s">
        <v>0</v>
      </c>
      <c r="H1349" s="39">
        <v>41375</v>
      </c>
      <c r="I1349" s="27" t="s">
        <v>984</v>
      </c>
      <c r="J1349" s="4" t="s">
        <v>1962</v>
      </c>
      <c r="K1349" s="4" t="s">
        <v>988</v>
      </c>
      <c r="L1349" s="29" t="s">
        <v>977</v>
      </c>
      <c r="M1349" s="78">
        <f t="shared" si="260"/>
        <v>4278</v>
      </c>
      <c r="N1349" s="78">
        <f>O1349/F1349</f>
        <v>534.75</v>
      </c>
      <c r="O1349" s="78">
        <v>4278</v>
      </c>
      <c r="P1349" s="72">
        <v>8240</v>
      </c>
      <c r="Q1349" s="256">
        <f>R1349-P1349</f>
        <v>1812.8</v>
      </c>
      <c r="R1349" s="256">
        <f>P1349*1.22</f>
        <v>10052.799999999999</v>
      </c>
      <c r="S1349" s="296"/>
      <c r="T1349" s="3">
        <v>59</v>
      </c>
      <c r="U1349" s="293"/>
    </row>
    <row r="1350" spans="1:21" ht="15" customHeight="1" x14ac:dyDescent="0.35">
      <c r="A1350" s="218" t="s">
        <v>3657</v>
      </c>
      <c r="B1350" s="3">
        <v>1288</v>
      </c>
      <c r="C1350" s="44">
        <v>10095992</v>
      </c>
      <c r="D1350" s="18" t="s">
        <v>1582</v>
      </c>
      <c r="E1350" s="18" t="s">
        <v>2027</v>
      </c>
      <c r="F1350" s="12">
        <v>8</v>
      </c>
      <c r="G1350" s="3" t="s">
        <v>0</v>
      </c>
      <c r="H1350" s="39">
        <v>41375</v>
      </c>
      <c r="I1350" s="27" t="s">
        <v>984</v>
      </c>
      <c r="J1350" s="4" t="s">
        <v>1962</v>
      </c>
      <c r="K1350" s="4" t="s">
        <v>988</v>
      </c>
      <c r="L1350" s="29" t="s">
        <v>977</v>
      </c>
      <c r="M1350" s="78">
        <f t="shared" si="260"/>
        <v>4655.3599999999997</v>
      </c>
      <c r="N1350" s="78">
        <f>O1350/F1350</f>
        <v>581.91999999999996</v>
      </c>
      <c r="O1350" s="78">
        <v>4655.3599999999997</v>
      </c>
      <c r="P1350" s="72">
        <v>6520</v>
      </c>
      <c r="Q1350" s="256">
        <f>R1350-P1350</f>
        <v>1434.4</v>
      </c>
      <c r="R1350" s="256">
        <f>P1350*1.22</f>
        <v>7954.4</v>
      </c>
      <c r="S1350" s="296"/>
      <c r="T1350" s="3">
        <v>59</v>
      </c>
      <c r="U1350" s="293"/>
    </row>
    <row r="1351" spans="1:21" ht="15" customHeight="1" x14ac:dyDescent="0.35">
      <c r="A1351" s="218" t="s">
        <v>3658</v>
      </c>
      <c r="B1351" s="3">
        <v>1289</v>
      </c>
      <c r="C1351" s="44">
        <v>102001526</v>
      </c>
      <c r="D1351" s="18" t="s">
        <v>1604</v>
      </c>
      <c r="E1351" s="18" t="s">
        <v>2027</v>
      </c>
      <c r="F1351" s="12">
        <v>1</v>
      </c>
      <c r="G1351" s="3" t="s">
        <v>28</v>
      </c>
      <c r="H1351" s="3">
        <v>2015</v>
      </c>
      <c r="I1351" s="27" t="s">
        <v>984</v>
      </c>
      <c r="J1351" s="4" t="s">
        <v>1962</v>
      </c>
      <c r="K1351" s="4" t="s">
        <v>988</v>
      </c>
      <c r="L1351" s="29" t="s">
        <v>977</v>
      </c>
      <c r="M1351" s="78">
        <f t="shared" si="260"/>
        <v>140560</v>
      </c>
      <c r="N1351" s="78">
        <f>O1351/F1351</f>
        <v>140560</v>
      </c>
      <c r="O1351" s="78">
        <v>140560</v>
      </c>
      <c r="P1351" s="72">
        <v>199940</v>
      </c>
      <c r="Q1351" s="256">
        <f>R1351-P1351</f>
        <v>43986.8</v>
      </c>
      <c r="R1351" s="256">
        <f>P1351*1.22</f>
        <v>243926.8</v>
      </c>
      <c r="S1351" s="297"/>
      <c r="T1351" s="3">
        <v>59</v>
      </c>
      <c r="U1351" s="293"/>
    </row>
    <row r="1352" spans="1:21" ht="15" customHeight="1" x14ac:dyDescent="0.35">
      <c r="A1352" s="218"/>
      <c r="B1352" s="94"/>
      <c r="C1352" s="44"/>
      <c r="D1352" s="18"/>
      <c r="E1352" s="18"/>
      <c r="F1352" s="12"/>
      <c r="G1352" s="3"/>
      <c r="H1352" s="3"/>
      <c r="I1352" s="27"/>
      <c r="J1352" s="4"/>
      <c r="K1352" s="4"/>
      <c r="L1352" s="29"/>
      <c r="M1352" s="78"/>
      <c r="N1352" s="78"/>
      <c r="O1352" s="108">
        <f>SUM(O1347:O1351)</f>
        <v>150390.85</v>
      </c>
      <c r="P1352" s="276">
        <f t="shared" ref="P1352:Q1352" si="263">SUM(P1347:P1351)</f>
        <v>216480</v>
      </c>
      <c r="Q1352" s="282">
        <f t="shared" si="263"/>
        <v>47625.599999999999</v>
      </c>
      <c r="R1352" s="282">
        <f>SUM(R1347:R1351)</f>
        <v>264105.59999999998</v>
      </c>
      <c r="S1352" s="286">
        <f>R1352/100*10</f>
        <v>26410.560000000001</v>
      </c>
      <c r="T1352" s="104">
        <v>59</v>
      </c>
      <c r="U1352" s="304"/>
    </row>
    <row r="1353" spans="1:21" ht="15" customHeight="1" x14ac:dyDescent="0.35">
      <c r="A1353" s="218" t="s">
        <v>3659</v>
      </c>
      <c r="B1353" s="3">
        <v>1290</v>
      </c>
      <c r="C1353" s="44">
        <v>10119399</v>
      </c>
      <c r="D1353" s="18" t="s">
        <v>1456</v>
      </c>
      <c r="E1353" s="19" t="s">
        <v>2219</v>
      </c>
      <c r="F1353" s="12">
        <v>9</v>
      </c>
      <c r="G1353" s="3" t="s">
        <v>0</v>
      </c>
      <c r="H1353" s="39">
        <v>38899</v>
      </c>
      <c r="I1353" s="27" t="s">
        <v>984</v>
      </c>
      <c r="J1353" s="4" t="s">
        <v>1962</v>
      </c>
      <c r="K1353" s="4" t="s">
        <v>988</v>
      </c>
      <c r="L1353" s="29" t="s">
        <v>977</v>
      </c>
      <c r="M1353" s="78">
        <f t="shared" si="260"/>
        <v>22468.05</v>
      </c>
      <c r="N1353" s="78">
        <f>O1353/F1353</f>
        <v>2496.4499999999998</v>
      </c>
      <c r="O1353" s="78">
        <v>22468.05</v>
      </c>
      <c r="P1353" s="72">
        <v>61440</v>
      </c>
      <c r="Q1353" s="256">
        <f t="shared" ref="Q1353:Q1369" si="264">R1353-P1353</f>
        <v>13516.8</v>
      </c>
      <c r="R1353" s="256">
        <f t="shared" ref="R1353:R1369" si="265">P1353*1.22</f>
        <v>74956.800000000003</v>
      </c>
      <c r="S1353" s="289"/>
      <c r="T1353" s="3">
        <v>60</v>
      </c>
      <c r="U1353" s="292" t="s">
        <v>2336</v>
      </c>
    </row>
    <row r="1354" spans="1:21" ht="15" customHeight="1" x14ac:dyDescent="0.35">
      <c r="A1354" s="218" t="s">
        <v>3660</v>
      </c>
      <c r="B1354" s="3">
        <v>1291</v>
      </c>
      <c r="C1354" s="44">
        <v>10119398</v>
      </c>
      <c r="D1354" s="18" t="s">
        <v>1457</v>
      </c>
      <c r="E1354" s="19" t="s">
        <v>2219</v>
      </c>
      <c r="F1354" s="12">
        <v>8</v>
      </c>
      <c r="G1354" s="3" t="s">
        <v>0</v>
      </c>
      <c r="H1354" s="39">
        <v>38899</v>
      </c>
      <c r="I1354" s="27" t="s">
        <v>984</v>
      </c>
      <c r="J1354" s="4" t="s">
        <v>1962</v>
      </c>
      <c r="K1354" s="4" t="s">
        <v>988</v>
      </c>
      <c r="L1354" s="29" t="s">
        <v>977</v>
      </c>
      <c r="M1354" s="78">
        <f t="shared" si="260"/>
        <v>42962.48</v>
      </c>
      <c r="N1354" s="78">
        <f>O1354/F1354</f>
        <v>5370.31</v>
      </c>
      <c r="O1354" s="78">
        <v>42962.48</v>
      </c>
      <c r="P1354" s="72">
        <v>90000</v>
      </c>
      <c r="Q1354" s="256">
        <f t="shared" si="264"/>
        <v>19800</v>
      </c>
      <c r="R1354" s="256">
        <f t="shared" si="265"/>
        <v>109800</v>
      </c>
      <c r="S1354" s="296"/>
      <c r="T1354" s="3">
        <v>60</v>
      </c>
      <c r="U1354" s="293"/>
    </row>
    <row r="1355" spans="1:21" ht="15.75" customHeight="1" x14ac:dyDescent="0.35">
      <c r="A1355" s="218" t="s">
        <v>3661</v>
      </c>
      <c r="B1355" s="3">
        <v>1292</v>
      </c>
      <c r="C1355" s="44">
        <v>10132963</v>
      </c>
      <c r="D1355" s="18" t="s">
        <v>1574</v>
      </c>
      <c r="E1355" s="18" t="s">
        <v>2027</v>
      </c>
      <c r="F1355" s="12">
        <v>3</v>
      </c>
      <c r="G1355" s="3" t="s">
        <v>0</v>
      </c>
      <c r="H1355" s="39">
        <v>41577</v>
      </c>
      <c r="I1355" s="27" t="s">
        <v>984</v>
      </c>
      <c r="J1355" s="4" t="s">
        <v>1962</v>
      </c>
      <c r="K1355" s="4" t="s">
        <v>988</v>
      </c>
      <c r="L1355" s="29" t="s">
        <v>977</v>
      </c>
      <c r="M1355" s="85">
        <v>94.19</v>
      </c>
      <c r="N1355" s="85">
        <v>31.4</v>
      </c>
      <c r="O1355" s="78">
        <v>94.19</v>
      </c>
      <c r="P1355" s="72">
        <v>120</v>
      </c>
      <c r="Q1355" s="256">
        <f t="shared" si="264"/>
        <v>26.4</v>
      </c>
      <c r="R1355" s="256">
        <f t="shared" si="265"/>
        <v>146.4</v>
      </c>
      <c r="S1355" s="296"/>
      <c r="T1355" s="3">
        <v>60</v>
      </c>
      <c r="U1355" s="293"/>
    </row>
    <row r="1356" spans="1:21" ht="19.5" customHeight="1" x14ac:dyDescent="0.35">
      <c r="A1356" s="218" t="s">
        <v>3662</v>
      </c>
      <c r="B1356" s="3">
        <v>1293</v>
      </c>
      <c r="C1356" s="44">
        <v>10100073</v>
      </c>
      <c r="D1356" s="18" t="s">
        <v>1575</v>
      </c>
      <c r="E1356" s="18" t="s">
        <v>2027</v>
      </c>
      <c r="F1356" s="12">
        <f>4-2</f>
        <v>2</v>
      </c>
      <c r="G1356" s="3" t="s">
        <v>0</v>
      </c>
      <c r="H1356" s="39">
        <v>41621</v>
      </c>
      <c r="I1356" s="27" t="s">
        <v>984</v>
      </c>
      <c r="J1356" s="4" t="s">
        <v>1962</v>
      </c>
      <c r="K1356" s="4" t="s">
        <v>988</v>
      </c>
      <c r="L1356" s="29" t="s">
        <v>977</v>
      </c>
      <c r="M1356" s="78">
        <f>O1356</f>
        <v>55.49</v>
      </c>
      <c r="N1356" s="78">
        <f>O1356/F1356</f>
        <v>27.75</v>
      </c>
      <c r="O1356" s="78">
        <f>110.98/4*2</f>
        <v>55.49</v>
      </c>
      <c r="P1356" s="72">
        <v>70</v>
      </c>
      <c r="Q1356" s="256">
        <f t="shared" si="264"/>
        <v>15.4</v>
      </c>
      <c r="R1356" s="256">
        <f t="shared" si="265"/>
        <v>85.4</v>
      </c>
      <c r="S1356" s="296"/>
      <c r="T1356" s="3">
        <v>60</v>
      </c>
      <c r="U1356" s="293"/>
    </row>
    <row r="1357" spans="1:21" ht="15" customHeight="1" x14ac:dyDescent="0.35">
      <c r="A1357" s="218" t="s">
        <v>3663</v>
      </c>
      <c r="B1357" s="3">
        <v>1294</v>
      </c>
      <c r="C1357" s="44">
        <v>10131462</v>
      </c>
      <c r="D1357" s="18" t="s">
        <v>1633</v>
      </c>
      <c r="E1357" s="18" t="s">
        <v>2027</v>
      </c>
      <c r="F1357" s="12">
        <v>1</v>
      </c>
      <c r="G1357" s="3" t="s">
        <v>0</v>
      </c>
      <c r="H1357" s="39">
        <v>41542</v>
      </c>
      <c r="I1357" s="27" t="s">
        <v>984</v>
      </c>
      <c r="J1357" s="4" t="s">
        <v>1962</v>
      </c>
      <c r="K1357" s="4" t="s">
        <v>988</v>
      </c>
      <c r="L1357" s="29" t="s">
        <v>977</v>
      </c>
      <c r="M1357" s="78">
        <f t="shared" ref="M1357:M1369" si="266">O1357</f>
        <v>188.49</v>
      </c>
      <c r="N1357" s="78">
        <f t="shared" ref="N1357:N1369" si="267">O1357/F1357</f>
        <v>188.49</v>
      </c>
      <c r="O1357" s="78">
        <v>188.49</v>
      </c>
      <c r="P1357" s="72">
        <v>240</v>
      </c>
      <c r="Q1357" s="256">
        <f t="shared" si="264"/>
        <v>52.8</v>
      </c>
      <c r="R1357" s="256">
        <f t="shared" si="265"/>
        <v>292.8</v>
      </c>
      <c r="S1357" s="296"/>
      <c r="T1357" s="3">
        <v>60</v>
      </c>
      <c r="U1357" s="293"/>
    </row>
    <row r="1358" spans="1:21" ht="15" customHeight="1" x14ac:dyDescent="0.35">
      <c r="A1358" s="218" t="s">
        <v>3664</v>
      </c>
      <c r="B1358" s="3">
        <v>1295</v>
      </c>
      <c r="C1358" s="44">
        <v>10132146</v>
      </c>
      <c r="D1358" s="18" t="s">
        <v>1634</v>
      </c>
      <c r="E1358" s="18" t="s">
        <v>2027</v>
      </c>
      <c r="F1358" s="12">
        <v>4</v>
      </c>
      <c r="G1358" s="3" t="s">
        <v>0</v>
      </c>
      <c r="H1358" s="39">
        <v>41542</v>
      </c>
      <c r="I1358" s="27" t="s">
        <v>984</v>
      </c>
      <c r="J1358" s="4" t="s">
        <v>1962</v>
      </c>
      <c r="K1358" s="4" t="s">
        <v>988</v>
      </c>
      <c r="L1358" s="29" t="s">
        <v>977</v>
      </c>
      <c r="M1358" s="78">
        <f t="shared" si="266"/>
        <v>1214.04</v>
      </c>
      <c r="N1358" s="78">
        <f t="shared" si="267"/>
        <v>303.51</v>
      </c>
      <c r="O1358" s="78">
        <v>1214.04</v>
      </c>
      <c r="P1358" s="72">
        <v>1540</v>
      </c>
      <c r="Q1358" s="256">
        <f t="shared" si="264"/>
        <v>338.8</v>
      </c>
      <c r="R1358" s="256">
        <f t="shared" si="265"/>
        <v>1878.8</v>
      </c>
      <c r="S1358" s="296"/>
      <c r="T1358" s="3">
        <v>60</v>
      </c>
      <c r="U1358" s="293"/>
    </row>
    <row r="1359" spans="1:21" ht="15" customHeight="1" x14ac:dyDescent="0.35">
      <c r="A1359" s="218" t="s">
        <v>3665</v>
      </c>
      <c r="B1359" s="3">
        <v>1296</v>
      </c>
      <c r="C1359" s="44">
        <v>10132168</v>
      </c>
      <c r="D1359" s="18" t="s">
        <v>1635</v>
      </c>
      <c r="E1359" s="18" t="s">
        <v>2027</v>
      </c>
      <c r="F1359" s="12">
        <v>1</v>
      </c>
      <c r="G1359" s="3" t="s">
        <v>0</v>
      </c>
      <c r="H1359" s="39">
        <v>41542</v>
      </c>
      <c r="I1359" s="27" t="s">
        <v>984</v>
      </c>
      <c r="J1359" s="4" t="s">
        <v>1962</v>
      </c>
      <c r="K1359" s="4" t="s">
        <v>988</v>
      </c>
      <c r="L1359" s="29" t="s">
        <v>977</v>
      </c>
      <c r="M1359" s="78">
        <f t="shared" si="266"/>
        <v>874.92</v>
      </c>
      <c r="N1359" s="78">
        <f t="shared" si="267"/>
        <v>874.92</v>
      </c>
      <c r="O1359" s="78">
        <v>874.92</v>
      </c>
      <c r="P1359" s="72">
        <v>1110</v>
      </c>
      <c r="Q1359" s="256">
        <f t="shared" si="264"/>
        <v>244.2</v>
      </c>
      <c r="R1359" s="256">
        <f t="shared" si="265"/>
        <v>1354.2</v>
      </c>
      <c r="S1359" s="296"/>
      <c r="T1359" s="3">
        <v>60</v>
      </c>
      <c r="U1359" s="293"/>
    </row>
    <row r="1360" spans="1:21" ht="15" customHeight="1" x14ac:dyDescent="0.35">
      <c r="A1360" s="218" t="s">
        <v>3666</v>
      </c>
      <c r="B1360" s="3">
        <v>1297</v>
      </c>
      <c r="C1360" s="44">
        <v>10132897</v>
      </c>
      <c r="D1360" s="18" t="s">
        <v>1636</v>
      </c>
      <c r="E1360" s="18" t="s">
        <v>2027</v>
      </c>
      <c r="F1360" s="12">
        <v>1</v>
      </c>
      <c r="G1360" s="3" t="s">
        <v>0</v>
      </c>
      <c r="H1360" s="39">
        <v>41542</v>
      </c>
      <c r="I1360" s="27" t="s">
        <v>984</v>
      </c>
      <c r="J1360" s="4" t="s">
        <v>1962</v>
      </c>
      <c r="K1360" s="4" t="s">
        <v>988</v>
      </c>
      <c r="L1360" s="29" t="s">
        <v>977</v>
      </c>
      <c r="M1360" s="78">
        <f t="shared" si="266"/>
        <v>910.55</v>
      </c>
      <c r="N1360" s="78">
        <f t="shared" si="267"/>
        <v>910.55</v>
      </c>
      <c r="O1360" s="78">
        <v>910.55</v>
      </c>
      <c r="P1360" s="72">
        <v>1130</v>
      </c>
      <c r="Q1360" s="256">
        <f t="shared" si="264"/>
        <v>248.6</v>
      </c>
      <c r="R1360" s="256">
        <f t="shared" si="265"/>
        <v>1378.6</v>
      </c>
      <c r="S1360" s="296"/>
      <c r="T1360" s="3">
        <v>60</v>
      </c>
      <c r="U1360" s="293"/>
    </row>
    <row r="1361" spans="1:21" ht="15" customHeight="1" x14ac:dyDescent="0.35">
      <c r="A1361" s="218" t="s">
        <v>3667</v>
      </c>
      <c r="B1361" s="3">
        <v>1298</v>
      </c>
      <c r="C1361" s="44">
        <v>10118716</v>
      </c>
      <c r="D1361" s="18" t="s">
        <v>1668</v>
      </c>
      <c r="E1361" s="18" t="s">
        <v>2027</v>
      </c>
      <c r="F1361" s="12">
        <v>6</v>
      </c>
      <c r="G1361" s="3" t="s">
        <v>0</v>
      </c>
      <c r="H1361" s="39">
        <v>41621</v>
      </c>
      <c r="I1361" s="27" t="s">
        <v>984</v>
      </c>
      <c r="J1361" s="4" t="s">
        <v>1962</v>
      </c>
      <c r="K1361" s="4" t="s">
        <v>988</v>
      </c>
      <c r="L1361" s="29" t="s">
        <v>977</v>
      </c>
      <c r="M1361" s="78">
        <f t="shared" si="266"/>
        <v>42.31</v>
      </c>
      <c r="N1361" s="78">
        <f t="shared" si="267"/>
        <v>7.05</v>
      </c>
      <c r="O1361" s="78">
        <v>42.31</v>
      </c>
      <c r="P1361" s="72">
        <v>50</v>
      </c>
      <c r="Q1361" s="256">
        <f t="shared" si="264"/>
        <v>11</v>
      </c>
      <c r="R1361" s="256">
        <f t="shared" si="265"/>
        <v>61</v>
      </c>
      <c r="S1361" s="296"/>
      <c r="T1361" s="3">
        <v>60</v>
      </c>
      <c r="U1361" s="293"/>
    </row>
    <row r="1362" spans="1:21" ht="15" customHeight="1" x14ac:dyDescent="0.35">
      <c r="A1362" s="218" t="s">
        <v>4103</v>
      </c>
      <c r="B1362" s="3">
        <v>1299</v>
      </c>
      <c r="C1362" s="44">
        <v>10042937</v>
      </c>
      <c r="D1362" s="18" t="s">
        <v>1750</v>
      </c>
      <c r="E1362" s="18" t="s">
        <v>2219</v>
      </c>
      <c r="F1362" s="12">
        <f>3+17</f>
        <v>20</v>
      </c>
      <c r="G1362" s="3" t="s">
        <v>0</v>
      </c>
      <c r="H1362" s="39">
        <v>40949</v>
      </c>
      <c r="I1362" s="27" t="s">
        <v>984</v>
      </c>
      <c r="J1362" s="4" t="s">
        <v>1962</v>
      </c>
      <c r="K1362" s="4" t="s">
        <v>988</v>
      </c>
      <c r="L1362" s="29" t="s">
        <v>977</v>
      </c>
      <c r="M1362" s="78">
        <f t="shared" si="266"/>
        <v>8002.16</v>
      </c>
      <c r="N1362" s="78">
        <f t="shared" si="267"/>
        <v>400.11</v>
      </c>
      <c r="O1362" s="78">
        <v>8002.16</v>
      </c>
      <c r="P1362" s="72">
        <v>10340</v>
      </c>
      <c r="Q1362" s="256">
        <f t="shared" si="264"/>
        <v>2274.8000000000002</v>
      </c>
      <c r="R1362" s="256">
        <f t="shared" si="265"/>
        <v>12614.8</v>
      </c>
      <c r="S1362" s="296"/>
      <c r="T1362" s="3">
        <v>60</v>
      </c>
      <c r="U1362" s="293"/>
    </row>
    <row r="1363" spans="1:21" ht="15" customHeight="1" x14ac:dyDescent="0.35">
      <c r="A1363" s="218" t="s">
        <v>3668</v>
      </c>
      <c r="B1363" s="3">
        <v>1300</v>
      </c>
      <c r="C1363" s="44">
        <v>10120621</v>
      </c>
      <c r="D1363" s="18" t="s">
        <v>1751</v>
      </c>
      <c r="E1363" s="18" t="s">
        <v>2027</v>
      </c>
      <c r="F1363" s="12">
        <f>7-6</f>
        <v>1</v>
      </c>
      <c r="G1363" s="3" t="s">
        <v>0</v>
      </c>
      <c r="H1363" s="39">
        <v>41577</v>
      </c>
      <c r="I1363" s="27" t="s">
        <v>984</v>
      </c>
      <c r="J1363" s="4" t="s">
        <v>1962</v>
      </c>
      <c r="K1363" s="4" t="s">
        <v>988</v>
      </c>
      <c r="L1363" s="29" t="s">
        <v>977</v>
      </c>
      <c r="M1363" s="78">
        <f t="shared" si="266"/>
        <v>110.46</v>
      </c>
      <c r="N1363" s="78">
        <f t="shared" si="267"/>
        <v>110.46</v>
      </c>
      <c r="O1363" s="78">
        <f>773.2/7*1</f>
        <v>110.46</v>
      </c>
      <c r="P1363" s="72">
        <v>140</v>
      </c>
      <c r="Q1363" s="256">
        <f t="shared" si="264"/>
        <v>30.8</v>
      </c>
      <c r="R1363" s="256">
        <f t="shared" si="265"/>
        <v>170.8</v>
      </c>
      <c r="S1363" s="296"/>
      <c r="T1363" s="3">
        <v>60</v>
      </c>
      <c r="U1363" s="293"/>
    </row>
    <row r="1364" spans="1:21" ht="15" customHeight="1" x14ac:dyDescent="0.35">
      <c r="A1364" s="218" t="s">
        <v>4101</v>
      </c>
      <c r="B1364" s="3">
        <v>1301</v>
      </c>
      <c r="C1364" s="44">
        <v>10120621</v>
      </c>
      <c r="D1364" s="18" t="s">
        <v>1751</v>
      </c>
      <c r="E1364" s="19" t="s">
        <v>2219</v>
      </c>
      <c r="F1364" s="12">
        <v>6</v>
      </c>
      <c r="G1364" s="3" t="s">
        <v>0</v>
      </c>
      <c r="H1364" s="39">
        <v>41577</v>
      </c>
      <c r="I1364" s="27" t="s">
        <v>984</v>
      </c>
      <c r="J1364" s="4" t="s">
        <v>1962</v>
      </c>
      <c r="K1364" s="4" t="s">
        <v>988</v>
      </c>
      <c r="L1364" s="29" t="s">
        <v>871</v>
      </c>
      <c r="M1364" s="78">
        <f t="shared" si="266"/>
        <v>662.74</v>
      </c>
      <c r="N1364" s="78">
        <f t="shared" si="267"/>
        <v>110.46</v>
      </c>
      <c r="O1364" s="78">
        <v>662.74</v>
      </c>
      <c r="P1364" s="72">
        <v>480</v>
      </c>
      <c r="Q1364" s="256">
        <f t="shared" si="264"/>
        <v>105.6</v>
      </c>
      <c r="R1364" s="256">
        <f t="shared" si="265"/>
        <v>585.6</v>
      </c>
      <c r="S1364" s="296"/>
      <c r="T1364" s="3">
        <v>60</v>
      </c>
      <c r="U1364" s="293"/>
    </row>
    <row r="1365" spans="1:21" ht="15" customHeight="1" x14ac:dyDescent="0.35">
      <c r="A1365" s="218" t="s">
        <v>3669</v>
      </c>
      <c r="B1365" s="3">
        <v>1302</v>
      </c>
      <c r="C1365" s="44">
        <v>10106300</v>
      </c>
      <c r="D1365" s="18" t="s">
        <v>1753</v>
      </c>
      <c r="E1365" s="18" t="s">
        <v>2027</v>
      </c>
      <c r="F1365" s="12">
        <f>40-24</f>
        <v>16</v>
      </c>
      <c r="G1365" s="3" t="s">
        <v>0</v>
      </c>
      <c r="H1365" s="39">
        <v>41431</v>
      </c>
      <c r="I1365" s="27" t="s">
        <v>984</v>
      </c>
      <c r="J1365" s="4" t="s">
        <v>1962</v>
      </c>
      <c r="K1365" s="4" t="s">
        <v>988</v>
      </c>
      <c r="L1365" s="29" t="s">
        <v>977</v>
      </c>
      <c r="M1365" s="78">
        <f t="shared" si="266"/>
        <v>1665.44</v>
      </c>
      <c r="N1365" s="78">
        <f t="shared" si="267"/>
        <v>104.09</v>
      </c>
      <c r="O1365" s="78">
        <f>4163.6/40*16</f>
        <v>1665.44</v>
      </c>
      <c r="P1365" s="72">
        <v>1980</v>
      </c>
      <c r="Q1365" s="256">
        <f t="shared" si="264"/>
        <v>435.6</v>
      </c>
      <c r="R1365" s="256">
        <f t="shared" si="265"/>
        <v>2415.6</v>
      </c>
      <c r="S1365" s="296"/>
      <c r="T1365" s="3">
        <v>60</v>
      </c>
      <c r="U1365" s="293"/>
    </row>
    <row r="1366" spans="1:21" ht="15" customHeight="1" x14ac:dyDescent="0.35">
      <c r="A1366" s="218" t="s">
        <v>3670</v>
      </c>
      <c r="B1366" s="3">
        <v>1303</v>
      </c>
      <c r="C1366" s="44">
        <v>10108297</v>
      </c>
      <c r="D1366" s="18" t="s">
        <v>1754</v>
      </c>
      <c r="E1366" s="18" t="s">
        <v>2027</v>
      </c>
      <c r="F1366" s="12">
        <f>22-15</f>
        <v>7</v>
      </c>
      <c r="G1366" s="3" t="s">
        <v>0</v>
      </c>
      <c r="H1366" s="39">
        <v>41577</v>
      </c>
      <c r="I1366" s="27" t="s">
        <v>984</v>
      </c>
      <c r="J1366" s="4" t="s">
        <v>1962</v>
      </c>
      <c r="K1366" s="4" t="s">
        <v>988</v>
      </c>
      <c r="L1366" s="29" t="s">
        <v>977</v>
      </c>
      <c r="M1366" s="78">
        <f t="shared" si="266"/>
        <v>1451.1</v>
      </c>
      <c r="N1366" s="78">
        <f t="shared" si="267"/>
        <v>207.3</v>
      </c>
      <c r="O1366" s="78">
        <f>4560.6/22*7</f>
        <v>1451.1</v>
      </c>
      <c r="P1366" s="72">
        <v>1740</v>
      </c>
      <c r="Q1366" s="256">
        <f t="shared" si="264"/>
        <v>382.8</v>
      </c>
      <c r="R1366" s="256">
        <f t="shared" si="265"/>
        <v>2122.8000000000002</v>
      </c>
      <c r="S1366" s="296"/>
      <c r="T1366" s="3">
        <v>60</v>
      </c>
      <c r="U1366" s="293"/>
    </row>
    <row r="1367" spans="1:21" ht="15" customHeight="1" x14ac:dyDescent="0.35">
      <c r="A1367" s="218" t="s">
        <v>3671</v>
      </c>
      <c r="B1367" s="3">
        <v>1304</v>
      </c>
      <c r="C1367" s="44">
        <v>10050441</v>
      </c>
      <c r="D1367" s="18" t="s">
        <v>1755</v>
      </c>
      <c r="E1367" s="18" t="s">
        <v>2027</v>
      </c>
      <c r="F1367" s="12">
        <v>1</v>
      </c>
      <c r="G1367" s="3" t="s">
        <v>0</v>
      </c>
      <c r="H1367" s="39">
        <v>41577</v>
      </c>
      <c r="I1367" s="27" t="s">
        <v>984</v>
      </c>
      <c r="J1367" s="4" t="s">
        <v>1962</v>
      </c>
      <c r="K1367" s="4" t="s">
        <v>988</v>
      </c>
      <c r="L1367" s="29" t="s">
        <v>977</v>
      </c>
      <c r="M1367" s="78">
        <f t="shared" si="266"/>
        <v>60.9</v>
      </c>
      <c r="N1367" s="78">
        <f t="shared" si="267"/>
        <v>60.9</v>
      </c>
      <c r="O1367" s="78">
        <v>60.9</v>
      </c>
      <c r="P1367" s="72">
        <v>70</v>
      </c>
      <c r="Q1367" s="256">
        <f t="shared" si="264"/>
        <v>15.4</v>
      </c>
      <c r="R1367" s="256">
        <f t="shared" si="265"/>
        <v>85.4</v>
      </c>
      <c r="S1367" s="296"/>
      <c r="T1367" s="3">
        <v>60</v>
      </c>
      <c r="U1367" s="293"/>
    </row>
    <row r="1368" spans="1:21" ht="15" customHeight="1" x14ac:dyDescent="0.35">
      <c r="A1368" s="218" t="s">
        <v>3672</v>
      </c>
      <c r="B1368" s="3">
        <v>1305</v>
      </c>
      <c r="C1368" s="44">
        <v>10108410</v>
      </c>
      <c r="D1368" s="18" t="s">
        <v>1756</v>
      </c>
      <c r="E1368" s="18" t="s">
        <v>2027</v>
      </c>
      <c r="F1368" s="12">
        <f>15-10</f>
        <v>5</v>
      </c>
      <c r="G1368" s="3" t="s">
        <v>0</v>
      </c>
      <c r="H1368" s="39">
        <v>41577</v>
      </c>
      <c r="I1368" s="27" t="s">
        <v>984</v>
      </c>
      <c r="J1368" s="4" t="s">
        <v>1962</v>
      </c>
      <c r="K1368" s="4" t="s">
        <v>988</v>
      </c>
      <c r="L1368" s="29" t="s">
        <v>977</v>
      </c>
      <c r="M1368" s="78">
        <f t="shared" si="266"/>
        <v>540.75</v>
      </c>
      <c r="N1368" s="78">
        <f t="shared" si="267"/>
        <v>108.15</v>
      </c>
      <c r="O1368" s="78">
        <f>1622.25/15*5</f>
        <v>540.75</v>
      </c>
      <c r="P1368" s="72">
        <v>690</v>
      </c>
      <c r="Q1368" s="256">
        <f t="shared" si="264"/>
        <v>151.80000000000001</v>
      </c>
      <c r="R1368" s="256">
        <f t="shared" si="265"/>
        <v>841.8</v>
      </c>
      <c r="S1368" s="296"/>
      <c r="T1368" s="3">
        <v>60</v>
      </c>
      <c r="U1368" s="293"/>
    </row>
    <row r="1369" spans="1:21" ht="22.5" customHeight="1" x14ac:dyDescent="0.35">
      <c r="A1369" s="218" t="s">
        <v>3673</v>
      </c>
      <c r="B1369" s="3">
        <v>1306</v>
      </c>
      <c r="C1369" s="44">
        <v>10125454</v>
      </c>
      <c r="D1369" s="18" t="s">
        <v>1865</v>
      </c>
      <c r="E1369" s="18" t="s">
        <v>2027</v>
      </c>
      <c r="F1369" s="12">
        <v>2</v>
      </c>
      <c r="G1369" s="3" t="s">
        <v>0</v>
      </c>
      <c r="H1369" s="39">
        <v>41621</v>
      </c>
      <c r="I1369" s="27" t="s">
        <v>984</v>
      </c>
      <c r="J1369" s="4" t="s">
        <v>1962</v>
      </c>
      <c r="K1369" s="4" t="s">
        <v>988</v>
      </c>
      <c r="L1369" s="29" t="s">
        <v>977</v>
      </c>
      <c r="M1369" s="78">
        <f t="shared" si="266"/>
        <v>8708.48</v>
      </c>
      <c r="N1369" s="78">
        <f t="shared" si="267"/>
        <v>4354.24</v>
      </c>
      <c r="O1369" s="78">
        <v>8708.48</v>
      </c>
      <c r="P1369" s="72">
        <v>7580</v>
      </c>
      <c r="Q1369" s="256">
        <f t="shared" si="264"/>
        <v>1667.6</v>
      </c>
      <c r="R1369" s="256">
        <f t="shared" si="265"/>
        <v>9247.6</v>
      </c>
      <c r="S1369" s="297"/>
      <c r="T1369" s="3">
        <v>60</v>
      </c>
      <c r="U1369" s="293"/>
    </row>
    <row r="1370" spans="1:21" ht="15" customHeight="1" x14ac:dyDescent="0.35">
      <c r="A1370" s="218"/>
      <c r="B1370" s="94"/>
      <c r="C1370" s="44"/>
      <c r="D1370" s="18"/>
      <c r="E1370" s="18"/>
      <c r="F1370" s="12"/>
      <c r="G1370" s="3"/>
      <c r="H1370" s="39"/>
      <c r="I1370" s="27"/>
      <c r="J1370" s="4"/>
      <c r="K1370" s="4"/>
      <c r="L1370" s="29"/>
      <c r="M1370" s="78"/>
      <c r="N1370" s="78"/>
      <c r="O1370" s="201">
        <f>SUM(O1353:O1369)</f>
        <v>90012.55</v>
      </c>
      <c r="P1370" s="276">
        <f t="shared" ref="P1370:Q1370" si="268">SUM(P1353:P1369)</f>
        <v>178720</v>
      </c>
      <c r="Q1370" s="282">
        <f t="shared" si="268"/>
        <v>39318.400000000001</v>
      </c>
      <c r="R1370" s="282">
        <f>SUM(R1353:R1369)</f>
        <v>218038.39999999999</v>
      </c>
      <c r="S1370" s="286">
        <f>R1370/100*10</f>
        <v>21803.84</v>
      </c>
      <c r="T1370" s="104">
        <v>60</v>
      </c>
      <c r="U1370" s="304"/>
    </row>
    <row r="1371" spans="1:21" ht="15" customHeight="1" x14ac:dyDescent="0.35">
      <c r="A1371" s="218" t="s">
        <v>3674</v>
      </c>
      <c r="B1371" s="3">
        <v>1307</v>
      </c>
      <c r="C1371" s="44">
        <v>10134153</v>
      </c>
      <c r="D1371" s="18" t="s">
        <v>1562</v>
      </c>
      <c r="E1371" s="18" t="s">
        <v>2027</v>
      </c>
      <c r="F1371" s="12">
        <v>5</v>
      </c>
      <c r="G1371" s="3" t="s">
        <v>0</v>
      </c>
      <c r="H1371" s="39">
        <v>41267</v>
      </c>
      <c r="I1371" s="27" t="s">
        <v>984</v>
      </c>
      <c r="J1371" s="4" t="s">
        <v>1962</v>
      </c>
      <c r="K1371" s="4" t="s">
        <v>988</v>
      </c>
      <c r="L1371" s="29" t="s">
        <v>977</v>
      </c>
      <c r="M1371" s="78">
        <v>19970</v>
      </c>
      <c r="N1371" s="78">
        <v>3994</v>
      </c>
      <c r="O1371" s="78">
        <v>19970</v>
      </c>
      <c r="P1371" s="72">
        <v>24950</v>
      </c>
      <c r="Q1371" s="256">
        <f t="shared" ref="Q1371:Q1376" si="269">R1371-P1371</f>
        <v>5489</v>
      </c>
      <c r="R1371" s="256">
        <f t="shared" ref="R1371:R1376" si="270">P1371*1.22</f>
        <v>30439</v>
      </c>
      <c r="S1371" s="289"/>
      <c r="T1371" s="3">
        <v>61</v>
      </c>
      <c r="U1371" s="292" t="s">
        <v>2337</v>
      </c>
    </row>
    <row r="1372" spans="1:21" ht="15" customHeight="1" x14ac:dyDescent="0.35">
      <c r="A1372" s="218" t="s">
        <v>3675</v>
      </c>
      <c r="B1372" s="3">
        <v>1308</v>
      </c>
      <c r="C1372" s="44">
        <v>10089607</v>
      </c>
      <c r="D1372" s="18" t="s">
        <v>1663</v>
      </c>
      <c r="E1372" s="18" t="s">
        <v>2027</v>
      </c>
      <c r="F1372" s="12">
        <v>96</v>
      </c>
      <c r="G1372" s="3" t="s">
        <v>0</v>
      </c>
      <c r="H1372" s="39">
        <v>41431</v>
      </c>
      <c r="I1372" s="27" t="s">
        <v>984</v>
      </c>
      <c r="J1372" s="4" t="s">
        <v>1962</v>
      </c>
      <c r="K1372" s="4" t="s">
        <v>988</v>
      </c>
      <c r="L1372" s="29" t="s">
        <v>977</v>
      </c>
      <c r="M1372" s="78">
        <f t="shared" ref="M1372:M1384" si="271">O1372</f>
        <v>4285.4399999999996</v>
      </c>
      <c r="N1372" s="78">
        <f>O1372/F1372</f>
        <v>44.64</v>
      </c>
      <c r="O1372" s="78">
        <v>4285.4399999999996</v>
      </c>
      <c r="P1372" s="72">
        <v>5950</v>
      </c>
      <c r="Q1372" s="256">
        <f t="shared" si="269"/>
        <v>1309</v>
      </c>
      <c r="R1372" s="256">
        <f t="shared" si="270"/>
        <v>7259</v>
      </c>
      <c r="S1372" s="296"/>
      <c r="T1372" s="3">
        <v>61</v>
      </c>
      <c r="U1372" s="293"/>
    </row>
    <row r="1373" spans="1:21" ht="15" customHeight="1" x14ac:dyDescent="0.35">
      <c r="A1373" s="218" t="s">
        <v>3676</v>
      </c>
      <c r="B1373" s="3">
        <v>1309</v>
      </c>
      <c r="C1373" s="44">
        <v>10138875</v>
      </c>
      <c r="D1373" s="18" t="s">
        <v>1866</v>
      </c>
      <c r="E1373" s="18" t="s">
        <v>2027</v>
      </c>
      <c r="F1373" s="12">
        <v>10</v>
      </c>
      <c r="G1373" s="3" t="s">
        <v>17</v>
      </c>
      <c r="H1373" s="39">
        <v>41577</v>
      </c>
      <c r="I1373" s="27" t="s">
        <v>984</v>
      </c>
      <c r="J1373" s="4" t="s">
        <v>1962</v>
      </c>
      <c r="K1373" s="4" t="s">
        <v>988</v>
      </c>
      <c r="L1373" s="29" t="s">
        <v>977</v>
      </c>
      <c r="M1373" s="78">
        <f t="shared" si="271"/>
        <v>1440.68</v>
      </c>
      <c r="N1373" s="78">
        <f>O1373/F1373</f>
        <v>144.07</v>
      </c>
      <c r="O1373" s="78">
        <v>1440.68</v>
      </c>
      <c r="P1373" s="72">
        <v>1940</v>
      </c>
      <c r="Q1373" s="256">
        <f t="shared" si="269"/>
        <v>426.8</v>
      </c>
      <c r="R1373" s="256">
        <f t="shared" si="270"/>
        <v>2366.8000000000002</v>
      </c>
      <c r="S1373" s="296"/>
      <c r="T1373" s="3">
        <v>61</v>
      </c>
      <c r="U1373" s="293"/>
    </row>
    <row r="1374" spans="1:21" ht="15" customHeight="1" x14ac:dyDescent="0.35">
      <c r="A1374" s="218" t="s">
        <v>3677</v>
      </c>
      <c r="B1374" s="3">
        <v>1310</v>
      </c>
      <c r="C1374" s="44">
        <v>10013497</v>
      </c>
      <c r="D1374" s="18" t="s">
        <v>1918</v>
      </c>
      <c r="E1374" s="18" t="s">
        <v>2027</v>
      </c>
      <c r="F1374" s="12">
        <v>16</v>
      </c>
      <c r="G1374" s="3" t="s">
        <v>0</v>
      </c>
      <c r="H1374" s="39">
        <v>41431</v>
      </c>
      <c r="I1374" s="27" t="s">
        <v>984</v>
      </c>
      <c r="J1374" s="4" t="s">
        <v>1962</v>
      </c>
      <c r="K1374" s="4" t="s">
        <v>988</v>
      </c>
      <c r="L1374" s="29" t="s">
        <v>977</v>
      </c>
      <c r="M1374" s="78">
        <f t="shared" si="271"/>
        <v>953.9</v>
      </c>
      <c r="N1374" s="78">
        <f>O1374/F1374</f>
        <v>59.62</v>
      </c>
      <c r="O1374" s="78">
        <v>953.9</v>
      </c>
      <c r="P1374" s="72">
        <v>1330</v>
      </c>
      <c r="Q1374" s="256">
        <f t="shared" si="269"/>
        <v>292.60000000000002</v>
      </c>
      <c r="R1374" s="256">
        <f t="shared" si="270"/>
        <v>1622.6</v>
      </c>
      <c r="S1374" s="296"/>
      <c r="T1374" s="3">
        <v>61</v>
      </c>
      <c r="U1374" s="293"/>
    </row>
    <row r="1375" spans="1:21" ht="71.25" customHeight="1" x14ac:dyDescent="0.35">
      <c r="A1375" s="218" t="s">
        <v>3678</v>
      </c>
      <c r="B1375" s="3">
        <v>1311</v>
      </c>
      <c r="C1375" s="65">
        <v>10042414</v>
      </c>
      <c r="D1375" s="8" t="s">
        <v>1378</v>
      </c>
      <c r="E1375" s="19" t="s">
        <v>2219</v>
      </c>
      <c r="F1375" s="92">
        <v>10</v>
      </c>
      <c r="G1375" s="3" t="s">
        <v>0</v>
      </c>
      <c r="H1375" s="40">
        <v>41426</v>
      </c>
      <c r="I1375" s="27" t="s">
        <v>984</v>
      </c>
      <c r="J1375" s="41" t="s">
        <v>1410</v>
      </c>
      <c r="K1375" s="4" t="s">
        <v>988</v>
      </c>
      <c r="L1375" s="29" t="s">
        <v>977</v>
      </c>
      <c r="M1375" s="78">
        <f t="shared" si="271"/>
        <v>625.74</v>
      </c>
      <c r="N1375" s="78">
        <f>O1375/F1375</f>
        <v>62.57</v>
      </c>
      <c r="O1375" s="78">
        <v>625.74</v>
      </c>
      <c r="P1375" s="72">
        <v>870</v>
      </c>
      <c r="Q1375" s="256">
        <f t="shared" si="269"/>
        <v>191.4</v>
      </c>
      <c r="R1375" s="256">
        <f t="shared" si="270"/>
        <v>1061.4000000000001</v>
      </c>
      <c r="S1375" s="296"/>
      <c r="T1375" s="3">
        <v>61</v>
      </c>
      <c r="U1375" s="293"/>
    </row>
    <row r="1376" spans="1:21" ht="15" customHeight="1" x14ac:dyDescent="0.35">
      <c r="A1376" s="218" t="s">
        <v>3679</v>
      </c>
      <c r="B1376" s="3">
        <v>1312</v>
      </c>
      <c r="C1376" s="65">
        <v>10106869</v>
      </c>
      <c r="D1376" s="8" t="s">
        <v>1379</v>
      </c>
      <c r="E1376" s="19" t="s">
        <v>2219</v>
      </c>
      <c r="F1376" s="92">
        <v>40</v>
      </c>
      <c r="G1376" s="3" t="s">
        <v>0</v>
      </c>
      <c r="H1376" s="40">
        <v>41487</v>
      </c>
      <c r="I1376" s="27" t="s">
        <v>984</v>
      </c>
      <c r="J1376" s="41" t="s">
        <v>1409</v>
      </c>
      <c r="K1376" s="4" t="s">
        <v>988</v>
      </c>
      <c r="L1376" s="29" t="s">
        <v>977</v>
      </c>
      <c r="M1376" s="78">
        <f t="shared" si="271"/>
        <v>2644.61</v>
      </c>
      <c r="N1376" s="78">
        <f>O1376/F1376</f>
        <v>66.12</v>
      </c>
      <c r="O1376" s="78">
        <v>2644.61</v>
      </c>
      <c r="P1376" s="72">
        <v>3270</v>
      </c>
      <c r="Q1376" s="256">
        <f t="shared" si="269"/>
        <v>719.4</v>
      </c>
      <c r="R1376" s="256">
        <f t="shared" si="270"/>
        <v>3989.4</v>
      </c>
      <c r="S1376" s="297"/>
      <c r="T1376" s="3">
        <v>61</v>
      </c>
      <c r="U1376" s="293"/>
    </row>
    <row r="1377" spans="1:21" ht="15" customHeight="1" x14ac:dyDescent="0.35">
      <c r="A1377" s="218"/>
      <c r="B1377" s="94"/>
      <c r="C1377" s="65"/>
      <c r="D1377" s="8"/>
      <c r="E1377" s="19"/>
      <c r="F1377" s="92"/>
      <c r="G1377" s="3"/>
      <c r="H1377" s="40"/>
      <c r="I1377" s="27"/>
      <c r="J1377" s="41"/>
      <c r="K1377" s="4"/>
      <c r="L1377" s="29"/>
      <c r="M1377" s="78"/>
      <c r="N1377" s="78"/>
      <c r="O1377" s="108">
        <f>SUM(O1371:O1376)</f>
        <v>29920.37</v>
      </c>
      <c r="P1377" s="276">
        <f t="shared" ref="P1377:Q1377" si="272">SUM(P1371:P1376)</f>
        <v>38310</v>
      </c>
      <c r="Q1377" s="282">
        <f t="shared" si="272"/>
        <v>8428.2000000000007</v>
      </c>
      <c r="R1377" s="282">
        <f>SUM(R1371:R1376)</f>
        <v>46738.2</v>
      </c>
      <c r="S1377" s="286">
        <f>R1377/100*10</f>
        <v>4673.82</v>
      </c>
      <c r="T1377" s="104">
        <v>61</v>
      </c>
      <c r="U1377" s="304"/>
    </row>
    <row r="1378" spans="1:21" ht="15" customHeight="1" x14ac:dyDescent="0.35">
      <c r="A1378" s="218" t="s">
        <v>3680</v>
      </c>
      <c r="B1378" s="3">
        <v>1313</v>
      </c>
      <c r="C1378" s="44">
        <v>10111329</v>
      </c>
      <c r="D1378" s="18" t="s">
        <v>101</v>
      </c>
      <c r="E1378" s="18" t="s">
        <v>2027</v>
      </c>
      <c r="F1378" s="12">
        <v>39</v>
      </c>
      <c r="G1378" s="3" t="s">
        <v>0</v>
      </c>
      <c r="H1378" s="49">
        <v>2014</v>
      </c>
      <c r="I1378" s="27" t="s">
        <v>984</v>
      </c>
      <c r="J1378" s="5" t="s">
        <v>1962</v>
      </c>
      <c r="K1378" s="49" t="s">
        <v>988</v>
      </c>
      <c r="L1378" s="5" t="s">
        <v>2147</v>
      </c>
      <c r="M1378" s="72">
        <f t="shared" si="271"/>
        <v>14693.25</v>
      </c>
      <c r="N1378" s="72">
        <f>O1378/F1378</f>
        <v>376.75</v>
      </c>
      <c r="O1378" s="72">
        <v>14693.25</v>
      </c>
      <c r="P1378" s="72">
        <v>14780</v>
      </c>
      <c r="Q1378" s="256">
        <f>R1378-P1378</f>
        <v>3251.6</v>
      </c>
      <c r="R1378" s="256">
        <f>P1378*1.22</f>
        <v>18031.599999999999</v>
      </c>
      <c r="S1378" s="289"/>
      <c r="T1378" s="3">
        <v>62</v>
      </c>
      <c r="U1378" s="292" t="s">
        <v>2337</v>
      </c>
    </row>
    <row r="1379" spans="1:21" ht="15" customHeight="1" x14ac:dyDescent="0.35">
      <c r="A1379" s="218" t="s">
        <v>3681</v>
      </c>
      <c r="B1379" s="3">
        <v>1314</v>
      </c>
      <c r="C1379" s="44">
        <v>10111296</v>
      </c>
      <c r="D1379" s="18" t="s">
        <v>103</v>
      </c>
      <c r="E1379" s="18" t="s">
        <v>2027</v>
      </c>
      <c r="F1379" s="12">
        <v>46</v>
      </c>
      <c r="G1379" s="3" t="s">
        <v>0</v>
      </c>
      <c r="H1379" s="49">
        <v>2014</v>
      </c>
      <c r="I1379" s="27" t="s">
        <v>984</v>
      </c>
      <c r="J1379" s="5" t="s">
        <v>1962</v>
      </c>
      <c r="K1379" s="49" t="s">
        <v>988</v>
      </c>
      <c r="L1379" s="5" t="s">
        <v>2147</v>
      </c>
      <c r="M1379" s="72">
        <f t="shared" si="271"/>
        <v>18884.38</v>
      </c>
      <c r="N1379" s="72">
        <f>O1379/F1379</f>
        <v>410.53</v>
      </c>
      <c r="O1379" s="72">
        <v>18884.38</v>
      </c>
      <c r="P1379" s="72">
        <v>20720</v>
      </c>
      <c r="Q1379" s="256">
        <f>R1379-P1379</f>
        <v>4558.3999999999996</v>
      </c>
      <c r="R1379" s="256">
        <f>P1379*1.22</f>
        <v>25278.400000000001</v>
      </c>
      <c r="S1379" s="296"/>
      <c r="T1379" s="3">
        <v>62</v>
      </c>
      <c r="U1379" s="293"/>
    </row>
    <row r="1380" spans="1:21" ht="15" customHeight="1" x14ac:dyDescent="0.35">
      <c r="A1380" s="218" t="s">
        <v>3682</v>
      </c>
      <c r="B1380" s="3">
        <v>1315</v>
      </c>
      <c r="C1380" s="44">
        <v>10110292</v>
      </c>
      <c r="D1380" s="18" t="s">
        <v>108</v>
      </c>
      <c r="E1380" s="18" t="s">
        <v>2027</v>
      </c>
      <c r="F1380" s="12">
        <v>55</v>
      </c>
      <c r="G1380" s="3" t="s">
        <v>0</v>
      </c>
      <c r="H1380" s="49">
        <v>2014</v>
      </c>
      <c r="I1380" s="27" t="s">
        <v>984</v>
      </c>
      <c r="J1380" s="5" t="s">
        <v>1962</v>
      </c>
      <c r="K1380" s="49" t="s">
        <v>988</v>
      </c>
      <c r="L1380" s="5" t="s">
        <v>2147</v>
      </c>
      <c r="M1380" s="72">
        <f t="shared" si="271"/>
        <v>8065.67</v>
      </c>
      <c r="N1380" s="72">
        <f>O1380/F1380</f>
        <v>146.65</v>
      </c>
      <c r="O1380" s="72">
        <v>8065.67</v>
      </c>
      <c r="P1380" s="72">
        <v>8540</v>
      </c>
      <c r="Q1380" s="256">
        <f>R1380-P1380</f>
        <v>1878.8</v>
      </c>
      <c r="R1380" s="256">
        <f>P1380*1.22</f>
        <v>10418.799999999999</v>
      </c>
      <c r="S1380" s="297"/>
      <c r="T1380" s="3">
        <v>62</v>
      </c>
      <c r="U1380" s="293"/>
    </row>
    <row r="1381" spans="1:21" ht="15" customHeight="1" x14ac:dyDescent="0.35">
      <c r="A1381" s="218"/>
      <c r="B1381" s="94"/>
      <c r="C1381" s="44"/>
      <c r="D1381" s="18"/>
      <c r="E1381" s="18"/>
      <c r="F1381" s="12"/>
      <c r="G1381" s="3"/>
      <c r="H1381" s="49"/>
      <c r="I1381" s="27"/>
      <c r="J1381" s="5"/>
      <c r="K1381" s="49"/>
      <c r="L1381" s="5"/>
      <c r="M1381" s="72"/>
      <c r="N1381" s="72"/>
      <c r="O1381" s="82">
        <f>SUM(O1378:O1380)</f>
        <v>41643.300000000003</v>
      </c>
      <c r="P1381" s="276">
        <v>44040</v>
      </c>
      <c r="Q1381" s="282">
        <f>SUM(Q1378:Q1380)</f>
        <v>9688.7999999999993</v>
      </c>
      <c r="R1381" s="282">
        <f>SUM(R1378:R1380)</f>
        <v>53728.800000000003</v>
      </c>
      <c r="S1381" s="286">
        <f>R1381/100*10</f>
        <v>5372.88</v>
      </c>
      <c r="T1381" s="104">
        <v>62</v>
      </c>
      <c r="U1381" s="304"/>
    </row>
    <row r="1382" spans="1:21" ht="15" customHeight="1" x14ac:dyDescent="0.35">
      <c r="A1382" s="218" t="s">
        <v>3683</v>
      </c>
      <c r="B1382" s="3">
        <v>1316</v>
      </c>
      <c r="C1382" s="44">
        <v>10147669</v>
      </c>
      <c r="D1382" s="18" t="s">
        <v>1793</v>
      </c>
      <c r="E1382" s="18" t="s">
        <v>2228</v>
      </c>
      <c r="F1382" s="12">
        <v>8</v>
      </c>
      <c r="G1382" s="3" t="s">
        <v>0</v>
      </c>
      <c r="H1382" s="39">
        <v>41620</v>
      </c>
      <c r="I1382" s="27" t="s">
        <v>984</v>
      </c>
      <c r="J1382" s="4" t="s">
        <v>1962</v>
      </c>
      <c r="K1382" s="4" t="s">
        <v>988</v>
      </c>
      <c r="L1382" s="29" t="s">
        <v>977</v>
      </c>
      <c r="M1382" s="78">
        <f t="shared" si="271"/>
        <v>9040</v>
      </c>
      <c r="N1382" s="78">
        <f>O1382/F1382</f>
        <v>1130</v>
      </c>
      <c r="O1382" s="78">
        <v>9040</v>
      </c>
      <c r="P1382" s="72">
        <v>15480</v>
      </c>
      <c r="Q1382" s="256">
        <f>R1382-P1382</f>
        <v>3405.6</v>
      </c>
      <c r="R1382" s="256">
        <f>P1382*1.22</f>
        <v>18885.599999999999</v>
      </c>
      <c r="S1382" s="289"/>
      <c r="T1382" s="3">
        <v>63</v>
      </c>
      <c r="U1382" s="293" t="s">
        <v>2338</v>
      </c>
    </row>
    <row r="1383" spans="1:21" ht="15" customHeight="1" x14ac:dyDescent="0.35">
      <c r="A1383" s="218" t="s">
        <v>3684</v>
      </c>
      <c r="B1383" s="3">
        <v>1317</v>
      </c>
      <c r="C1383" s="44">
        <v>10147668</v>
      </c>
      <c r="D1383" s="18" t="s">
        <v>1794</v>
      </c>
      <c r="E1383" s="19" t="s">
        <v>2219</v>
      </c>
      <c r="F1383" s="12">
        <f>4-1</f>
        <v>3</v>
      </c>
      <c r="G1383" s="3" t="s">
        <v>0</v>
      </c>
      <c r="H1383" s="39">
        <v>41620</v>
      </c>
      <c r="I1383" s="27" t="s">
        <v>984</v>
      </c>
      <c r="J1383" s="4" t="s">
        <v>1962</v>
      </c>
      <c r="K1383" s="4" t="s">
        <v>988</v>
      </c>
      <c r="L1383" s="29" t="s">
        <v>977</v>
      </c>
      <c r="M1383" s="78">
        <f t="shared" si="271"/>
        <v>8010</v>
      </c>
      <c r="N1383" s="78">
        <f>O1383/F1383</f>
        <v>2670</v>
      </c>
      <c r="O1383" s="78">
        <f>10680/4*3</f>
        <v>8010</v>
      </c>
      <c r="P1383" s="72">
        <v>13720</v>
      </c>
      <c r="Q1383" s="256">
        <f>R1383-P1383</f>
        <v>3018.4</v>
      </c>
      <c r="R1383" s="256">
        <f>P1383*1.22</f>
        <v>16738.400000000001</v>
      </c>
      <c r="S1383" s="296"/>
      <c r="T1383" s="3">
        <v>63</v>
      </c>
      <c r="U1383" s="293"/>
    </row>
    <row r="1384" spans="1:21" ht="15" customHeight="1" x14ac:dyDescent="0.35">
      <c r="A1384" s="218" t="s">
        <v>3685</v>
      </c>
      <c r="B1384" s="3">
        <v>1318</v>
      </c>
      <c r="C1384" s="44">
        <v>10147741</v>
      </c>
      <c r="D1384" s="18" t="s">
        <v>1795</v>
      </c>
      <c r="E1384" s="18" t="s">
        <v>2228</v>
      </c>
      <c r="F1384" s="12">
        <v>2</v>
      </c>
      <c r="G1384" s="3" t="s">
        <v>0</v>
      </c>
      <c r="H1384" s="39">
        <v>41620</v>
      </c>
      <c r="I1384" s="27" t="s">
        <v>984</v>
      </c>
      <c r="J1384" s="4" t="s">
        <v>1962</v>
      </c>
      <c r="K1384" s="4" t="s">
        <v>988</v>
      </c>
      <c r="L1384" s="29" t="s">
        <v>977</v>
      </c>
      <c r="M1384" s="78">
        <f t="shared" si="271"/>
        <v>9912</v>
      </c>
      <c r="N1384" s="78">
        <f>O1384/F1384</f>
        <v>4956</v>
      </c>
      <c r="O1384" s="78">
        <v>9912</v>
      </c>
      <c r="P1384" s="72">
        <v>16980</v>
      </c>
      <c r="Q1384" s="256">
        <f>R1384-P1384</f>
        <v>3735.6</v>
      </c>
      <c r="R1384" s="256">
        <f>P1384*1.22</f>
        <v>20715.599999999999</v>
      </c>
      <c r="S1384" s="297"/>
      <c r="T1384" s="3">
        <v>63</v>
      </c>
      <c r="U1384" s="293"/>
    </row>
    <row r="1385" spans="1:21" ht="15" customHeight="1" x14ac:dyDescent="0.35">
      <c r="A1385" s="218"/>
      <c r="B1385" s="94"/>
      <c r="C1385" s="44"/>
      <c r="D1385" s="18"/>
      <c r="E1385" s="18"/>
      <c r="F1385" s="12"/>
      <c r="G1385" s="3"/>
      <c r="H1385" s="39"/>
      <c r="I1385" s="27"/>
      <c r="J1385" s="4"/>
      <c r="K1385" s="4"/>
      <c r="L1385" s="29"/>
      <c r="M1385" s="78"/>
      <c r="N1385" s="78"/>
      <c r="O1385" s="201">
        <f>SUM(O1382:O1384)</f>
        <v>26962</v>
      </c>
      <c r="P1385" s="276">
        <f t="shared" ref="P1385:Q1385" si="273">SUM(P1382:P1384)</f>
        <v>46180</v>
      </c>
      <c r="Q1385" s="282">
        <f t="shared" si="273"/>
        <v>10159.6</v>
      </c>
      <c r="R1385" s="282">
        <f>SUM(R1382:R1384)</f>
        <v>56339.6</v>
      </c>
      <c r="S1385" s="286">
        <f>R1385/100*10</f>
        <v>5633.96</v>
      </c>
      <c r="T1385" s="104">
        <v>63</v>
      </c>
      <c r="U1385" s="295"/>
    </row>
    <row r="1386" spans="1:21" ht="15" customHeight="1" x14ac:dyDescent="0.35">
      <c r="A1386" s="218" t="s">
        <v>3686</v>
      </c>
      <c r="B1386" s="3">
        <v>1319</v>
      </c>
      <c r="C1386" s="65">
        <v>10100493</v>
      </c>
      <c r="D1386" s="8" t="s">
        <v>2301</v>
      </c>
      <c r="E1386" s="19" t="s">
        <v>2228</v>
      </c>
      <c r="F1386" s="92">
        <v>2</v>
      </c>
      <c r="G1386" s="3" t="s">
        <v>0</v>
      </c>
      <c r="H1386" s="40">
        <v>41620</v>
      </c>
      <c r="I1386" s="27" t="s">
        <v>984</v>
      </c>
      <c r="J1386" s="4" t="s">
        <v>1962</v>
      </c>
      <c r="K1386" s="4" t="s">
        <v>988</v>
      </c>
      <c r="L1386" s="29" t="s">
        <v>2143</v>
      </c>
      <c r="M1386" s="78">
        <v>1171.17</v>
      </c>
      <c r="N1386" s="78">
        <v>585.59</v>
      </c>
      <c r="O1386" s="78">
        <v>1171.17</v>
      </c>
      <c r="P1386" s="72">
        <v>1190</v>
      </c>
      <c r="Q1386" s="256">
        <f>R1386-P1386</f>
        <v>261.8</v>
      </c>
      <c r="R1386" s="256">
        <f>P1386*1.22</f>
        <v>1451.8</v>
      </c>
      <c r="S1386" s="284"/>
      <c r="T1386" s="3">
        <v>64</v>
      </c>
      <c r="U1386" s="298" t="s">
        <v>2338</v>
      </c>
    </row>
    <row r="1387" spans="1:21" ht="15" customHeight="1" x14ac:dyDescent="0.35">
      <c r="A1387" s="218"/>
      <c r="B1387" s="94"/>
      <c r="C1387" s="65"/>
      <c r="D1387" s="8"/>
      <c r="E1387" s="19"/>
      <c r="F1387" s="92"/>
      <c r="G1387" s="3"/>
      <c r="H1387" s="40"/>
      <c r="I1387" s="27"/>
      <c r="J1387" s="4"/>
      <c r="K1387" s="4"/>
      <c r="L1387" s="29"/>
      <c r="M1387" s="78"/>
      <c r="N1387" s="78"/>
      <c r="O1387" s="108">
        <f>O1386</f>
        <v>1171.17</v>
      </c>
      <c r="P1387" s="276">
        <f t="shared" ref="P1387:Q1387" si="274">P1386</f>
        <v>1190</v>
      </c>
      <c r="Q1387" s="282">
        <f t="shared" si="274"/>
        <v>261.8</v>
      </c>
      <c r="R1387" s="282">
        <f>R1386</f>
        <v>1451.8</v>
      </c>
      <c r="S1387" s="286">
        <f>R1387/100*10</f>
        <v>145.18</v>
      </c>
      <c r="T1387" s="104">
        <v>64</v>
      </c>
      <c r="U1387" s="306"/>
    </row>
    <row r="1388" spans="1:21" ht="43" customHeight="1" x14ac:dyDescent="0.35">
      <c r="A1388" s="218" t="s">
        <v>3687</v>
      </c>
      <c r="B1388" s="3">
        <v>1320</v>
      </c>
      <c r="C1388" s="44">
        <v>102001162</v>
      </c>
      <c r="D1388" s="18" t="s">
        <v>256</v>
      </c>
      <c r="E1388" s="19" t="s">
        <v>2188</v>
      </c>
      <c r="F1388" s="12">
        <v>1</v>
      </c>
      <c r="G1388" s="3" t="s">
        <v>0</v>
      </c>
      <c r="H1388" s="5" t="s">
        <v>526</v>
      </c>
      <c r="I1388" s="16" t="s">
        <v>1362</v>
      </c>
      <c r="J1388" s="5" t="s">
        <v>1962</v>
      </c>
      <c r="K1388" s="14" t="s">
        <v>2190</v>
      </c>
      <c r="L1388" s="5" t="s">
        <v>977</v>
      </c>
      <c r="M1388" s="72">
        <f t="shared" ref="M1388:M1432" si="275">O1388</f>
        <v>243128.38</v>
      </c>
      <c r="N1388" s="72">
        <f t="shared" ref="N1388:N1396" si="276">O1388/F1388</f>
        <v>243128.38</v>
      </c>
      <c r="O1388" s="72">
        <v>243128.38</v>
      </c>
      <c r="P1388" s="72">
        <v>391650</v>
      </c>
      <c r="Q1388" s="256">
        <f t="shared" ref="Q1388:Q1396" si="277">R1388-P1388</f>
        <v>86163</v>
      </c>
      <c r="R1388" s="256">
        <f t="shared" ref="R1388:R1396" si="278">P1388*1.22</f>
        <v>477813</v>
      </c>
      <c r="S1388" s="289"/>
      <c r="T1388" s="3">
        <v>65</v>
      </c>
      <c r="U1388" s="292" t="s">
        <v>4265</v>
      </c>
    </row>
    <row r="1389" spans="1:21" ht="31.5" customHeight="1" x14ac:dyDescent="0.35">
      <c r="A1389" s="218" t="s">
        <v>3688</v>
      </c>
      <c r="B1389" s="3">
        <v>1321</v>
      </c>
      <c r="C1389" s="44">
        <v>102002369</v>
      </c>
      <c r="D1389" s="18" t="s">
        <v>257</v>
      </c>
      <c r="E1389" s="19" t="s">
        <v>2189</v>
      </c>
      <c r="F1389" s="12">
        <v>6</v>
      </c>
      <c r="G1389" s="3" t="s">
        <v>0</v>
      </c>
      <c r="H1389" s="5" t="s">
        <v>527</v>
      </c>
      <c r="I1389" s="16" t="s">
        <v>1362</v>
      </c>
      <c r="J1389" s="5" t="s">
        <v>1962</v>
      </c>
      <c r="K1389" s="28" t="s">
        <v>2191</v>
      </c>
      <c r="L1389" s="5" t="s">
        <v>977</v>
      </c>
      <c r="M1389" s="72">
        <f t="shared" si="275"/>
        <v>2676603.83</v>
      </c>
      <c r="N1389" s="72">
        <f t="shared" si="276"/>
        <v>446100.64</v>
      </c>
      <c r="O1389" s="72">
        <v>2676603.83</v>
      </c>
      <c r="P1389" s="72">
        <v>3693680</v>
      </c>
      <c r="Q1389" s="256">
        <f t="shared" si="277"/>
        <v>812609.6</v>
      </c>
      <c r="R1389" s="256">
        <f t="shared" si="278"/>
        <v>4506289.5999999996</v>
      </c>
      <c r="S1389" s="296"/>
      <c r="T1389" s="3">
        <v>65</v>
      </c>
      <c r="U1389" s="293"/>
    </row>
    <row r="1390" spans="1:21" ht="32.15" customHeight="1" x14ac:dyDescent="0.35">
      <c r="A1390" s="218" t="s">
        <v>3689</v>
      </c>
      <c r="B1390" s="3">
        <v>1322</v>
      </c>
      <c r="C1390" s="44">
        <v>102002370</v>
      </c>
      <c r="D1390" s="18" t="s">
        <v>258</v>
      </c>
      <c r="E1390" s="19" t="s">
        <v>2189</v>
      </c>
      <c r="F1390" s="12">
        <v>8</v>
      </c>
      <c r="G1390" s="3" t="s">
        <v>0</v>
      </c>
      <c r="H1390" s="5" t="s">
        <v>527</v>
      </c>
      <c r="I1390" s="16" t="s">
        <v>1362</v>
      </c>
      <c r="J1390" s="5" t="s">
        <v>1962</v>
      </c>
      <c r="K1390" s="28" t="s">
        <v>2192</v>
      </c>
      <c r="L1390" s="5" t="s">
        <v>977</v>
      </c>
      <c r="M1390" s="72">
        <f t="shared" si="275"/>
        <v>4310248.6900000004</v>
      </c>
      <c r="N1390" s="72">
        <f t="shared" si="276"/>
        <v>538781.09</v>
      </c>
      <c r="O1390" s="72">
        <v>4310248.6900000004</v>
      </c>
      <c r="P1390" s="72">
        <v>5948090</v>
      </c>
      <c r="Q1390" s="256">
        <f t="shared" si="277"/>
        <v>1308579.8</v>
      </c>
      <c r="R1390" s="256">
        <f t="shared" si="278"/>
        <v>7256669.7999999998</v>
      </c>
      <c r="S1390" s="296"/>
      <c r="T1390" s="3">
        <v>65</v>
      </c>
      <c r="U1390" s="293"/>
    </row>
    <row r="1391" spans="1:21" ht="15" customHeight="1" x14ac:dyDescent="0.35">
      <c r="A1391" s="218" t="s">
        <v>3690</v>
      </c>
      <c r="B1391" s="3">
        <v>1323</v>
      </c>
      <c r="C1391" s="44">
        <v>10119324</v>
      </c>
      <c r="D1391" s="18" t="s">
        <v>1775</v>
      </c>
      <c r="E1391" s="18" t="s">
        <v>2027</v>
      </c>
      <c r="F1391" s="12">
        <v>1</v>
      </c>
      <c r="G1391" s="3" t="s">
        <v>0</v>
      </c>
      <c r="H1391" s="39">
        <v>41320</v>
      </c>
      <c r="I1391" s="27" t="s">
        <v>984</v>
      </c>
      <c r="J1391" s="4" t="s">
        <v>1962</v>
      </c>
      <c r="K1391" s="4" t="s">
        <v>988</v>
      </c>
      <c r="L1391" s="29" t="s">
        <v>977</v>
      </c>
      <c r="M1391" s="78">
        <f t="shared" si="275"/>
        <v>19048</v>
      </c>
      <c r="N1391" s="78">
        <f t="shared" si="276"/>
        <v>19048</v>
      </c>
      <c r="O1391" s="78">
        <v>19048</v>
      </c>
      <c r="P1391" s="72">
        <v>29970</v>
      </c>
      <c r="Q1391" s="256">
        <f t="shared" si="277"/>
        <v>6593.4</v>
      </c>
      <c r="R1391" s="256">
        <f t="shared" si="278"/>
        <v>36563.4</v>
      </c>
      <c r="S1391" s="296"/>
      <c r="T1391" s="3">
        <v>65</v>
      </c>
      <c r="U1391" s="293"/>
    </row>
    <row r="1392" spans="1:21" ht="15" customHeight="1" x14ac:dyDescent="0.35">
      <c r="A1392" s="218" t="s">
        <v>3691</v>
      </c>
      <c r="B1392" s="3">
        <v>1324</v>
      </c>
      <c r="C1392" s="44">
        <v>10131624</v>
      </c>
      <c r="D1392" s="18" t="s">
        <v>1776</v>
      </c>
      <c r="E1392" s="18" t="s">
        <v>2027</v>
      </c>
      <c r="F1392" s="12">
        <v>1</v>
      </c>
      <c r="G1392" s="3" t="s">
        <v>0</v>
      </c>
      <c r="H1392" s="39">
        <v>41431</v>
      </c>
      <c r="I1392" s="27" t="s">
        <v>984</v>
      </c>
      <c r="J1392" s="4" t="s">
        <v>1962</v>
      </c>
      <c r="K1392" s="4" t="s">
        <v>988</v>
      </c>
      <c r="L1392" s="29" t="s">
        <v>977</v>
      </c>
      <c r="M1392" s="78">
        <f t="shared" si="275"/>
        <v>34775.03</v>
      </c>
      <c r="N1392" s="78">
        <f t="shared" si="276"/>
        <v>34775.03</v>
      </c>
      <c r="O1392" s="78">
        <v>34775.03</v>
      </c>
      <c r="P1392" s="72">
        <v>54650</v>
      </c>
      <c r="Q1392" s="256">
        <f t="shared" si="277"/>
        <v>12023</v>
      </c>
      <c r="R1392" s="256">
        <f t="shared" si="278"/>
        <v>66673</v>
      </c>
      <c r="S1392" s="296"/>
      <c r="T1392" s="3">
        <v>65</v>
      </c>
      <c r="U1392" s="293"/>
    </row>
    <row r="1393" spans="1:21" ht="15" customHeight="1" x14ac:dyDescent="0.35">
      <c r="A1393" s="218" t="s">
        <v>3692</v>
      </c>
      <c r="B1393" s="3">
        <v>1325</v>
      </c>
      <c r="C1393" s="44">
        <v>10134023</v>
      </c>
      <c r="D1393" s="18" t="s">
        <v>1783</v>
      </c>
      <c r="E1393" s="18" t="s">
        <v>2027</v>
      </c>
      <c r="F1393" s="12">
        <v>6</v>
      </c>
      <c r="G1393" s="3" t="s">
        <v>0</v>
      </c>
      <c r="H1393" s="39">
        <v>41239</v>
      </c>
      <c r="I1393" s="27" t="s">
        <v>984</v>
      </c>
      <c r="J1393" s="4" t="s">
        <v>1962</v>
      </c>
      <c r="K1393" s="4" t="s">
        <v>988</v>
      </c>
      <c r="L1393" s="29" t="s">
        <v>977</v>
      </c>
      <c r="M1393" s="78">
        <f t="shared" si="275"/>
        <v>41592</v>
      </c>
      <c r="N1393" s="78">
        <f t="shared" si="276"/>
        <v>6932</v>
      </c>
      <c r="O1393" s="78">
        <v>41592</v>
      </c>
      <c r="P1393" s="72">
        <v>66860</v>
      </c>
      <c r="Q1393" s="256">
        <f t="shared" si="277"/>
        <v>14709.2</v>
      </c>
      <c r="R1393" s="256">
        <f t="shared" si="278"/>
        <v>81569.2</v>
      </c>
      <c r="S1393" s="296"/>
      <c r="T1393" s="3">
        <v>65</v>
      </c>
      <c r="U1393" s="293"/>
    </row>
    <row r="1394" spans="1:21" ht="15" customHeight="1" x14ac:dyDescent="0.35">
      <c r="A1394" s="218" t="s">
        <v>3693</v>
      </c>
      <c r="B1394" s="3">
        <v>1326</v>
      </c>
      <c r="C1394" s="65">
        <v>10145073</v>
      </c>
      <c r="D1394" s="8" t="s">
        <v>1403</v>
      </c>
      <c r="E1394" s="19" t="s">
        <v>2219</v>
      </c>
      <c r="F1394" s="92">
        <v>1</v>
      </c>
      <c r="G1394" s="3" t="s">
        <v>0</v>
      </c>
      <c r="H1394" s="40">
        <v>41426</v>
      </c>
      <c r="I1394" s="27" t="s">
        <v>984</v>
      </c>
      <c r="J1394" s="41" t="s">
        <v>1406</v>
      </c>
      <c r="K1394" s="4" t="s">
        <v>988</v>
      </c>
      <c r="L1394" s="29" t="s">
        <v>977</v>
      </c>
      <c r="M1394" s="78">
        <f t="shared" si="275"/>
        <v>5873.48</v>
      </c>
      <c r="N1394" s="78">
        <f t="shared" si="276"/>
        <v>5873.48</v>
      </c>
      <c r="O1394" s="78">
        <v>5873.48</v>
      </c>
      <c r="P1394" s="72">
        <v>9230</v>
      </c>
      <c r="Q1394" s="256">
        <f t="shared" si="277"/>
        <v>2030.6</v>
      </c>
      <c r="R1394" s="256">
        <f t="shared" si="278"/>
        <v>11260.6</v>
      </c>
      <c r="S1394" s="296"/>
      <c r="T1394" s="3">
        <v>65</v>
      </c>
      <c r="U1394" s="293"/>
    </row>
    <row r="1395" spans="1:21" ht="15" customHeight="1" x14ac:dyDescent="0.35">
      <c r="A1395" s="218" t="s">
        <v>3694</v>
      </c>
      <c r="B1395" s="3">
        <v>1327</v>
      </c>
      <c r="C1395" s="65">
        <v>10138873</v>
      </c>
      <c r="D1395" s="8" t="s">
        <v>1404</v>
      </c>
      <c r="E1395" s="19" t="s">
        <v>2219</v>
      </c>
      <c r="F1395" s="92">
        <v>1</v>
      </c>
      <c r="G1395" s="3" t="s">
        <v>0</v>
      </c>
      <c r="H1395" s="40">
        <v>41365</v>
      </c>
      <c r="I1395" s="27" t="s">
        <v>984</v>
      </c>
      <c r="J1395" s="41" t="s">
        <v>1406</v>
      </c>
      <c r="K1395" s="4" t="s">
        <v>988</v>
      </c>
      <c r="L1395" s="29" t="s">
        <v>977</v>
      </c>
      <c r="M1395" s="78">
        <f t="shared" si="275"/>
        <v>2709.3</v>
      </c>
      <c r="N1395" s="78">
        <f t="shared" si="276"/>
        <v>2709.3</v>
      </c>
      <c r="O1395" s="78">
        <v>2709.3</v>
      </c>
      <c r="P1395" s="72">
        <v>4280</v>
      </c>
      <c r="Q1395" s="256">
        <f t="shared" si="277"/>
        <v>941.6</v>
      </c>
      <c r="R1395" s="256">
        <f t="shared" si="278"/>
        <v>5221.6000000000004</v>
      </c>
      <c r="S1395" s="296"/>
      <c r="T1395" s="3">
        <v>65</v>
      </c>
      <c r="U1395" s="293"/>
    </row>
    <row r="1396" spans="1:21" ht="15" customHeight="1" x14ac:dyDescent="0.35">
      <c r="A1396" s="218" t="s">
        <v>3695</v>
      </c>
      <c r="B1396" s="3">
        <v>1328</v>
      </c>
      <c r="C1396" s="65">
        <v>102001598</v>
      </c>
      <c r="D1396" s="8" t="s">
        <v>1405</v>
      </c>
      <c r="E1396" s="19" t="s">
        <v>2219</v>
      </c>
      <c r="F1396" s="92">
        <v>1</v>
      </c>
      <c r="G1396" s="3" t="s">
        <v>0</v>
      </c>
      <c r="H1396" s="40">
        <v>41456</v>
      </c>
      <c r="I1396" s="27" t="s">
        <v>984</v>
      </c>
      <c r="J1396" s="41" t="s">
        <v>1406</v>
      </c>
      <c r="K1396" s="4" t="s">
        <v>988</v>
      </c>
      <c r="L1396" s="29" t="s">
        <v>977</v>
      </c>
      <c r="M1396" s="78">
        <f t="shared" si="275"/>
        <v>112968.15</v>
      </c>
      <c r="N1396" s="78">
        <f t="shared" si="276"/>
        <v>112968.15</v>
      </c>
      <c r="O1396" s="78">
        <v>112968.15</v>
      </c>
      <c r="P1396" s="72">
        <v>178580</v>
      </c>
      <c r="Q1396" s="256">
        <f t="shared" si="277"/>
        <v>39287.599999999999</v>
      </c>
      <c r="R1396" s="256">
        <f t="shared" si="278"/>
        <v>217867.6</v>
      </c>
      <c r="S1396" s="297"/>
      <c r="T1396" s="3">
        <v>65</v>
      </c>
      <c r="U1396" s="293"/>
    </row>
    <row r="1397" spans="1:21" ht="15" customHeight="1" x14ac:dyDescent="0.35">
      <c r="A1397" s="218"/>
      <c r="B1397" s="94"/>
      <c r="C1397" s="65"/>
      <c r="D1397" s="8"/>
      <c r="E1397" s="19"/>
      <c r="F1397" s="92"/>
      <c r="G1397" s="3"/>
      <c r="H1397" s="40"/>
      <c r="I1397" s="27"/>
      <c r="J1397" s="41"/>
      <c r="K1397" s="4"/>
      <c r="L1397" s="29"/>
      <c r="M1397" s="78"/>
      <c r="N1397" s="78"/>
      <c r="O1397" s="108">
        <f>SUM(O1388:O1396)</f>
        <v>7446946.8600000003</v>
      </c>
      <c r="P1397" s="276">
        <f t="shared" ref="P1397:Q1397" si="279">SUM(P1388:P1396)</f>
        <v>10376990</v>
      </c>
      <c r="Q1397" s="282">
        <f t="shared" si="279"/>
        <v>2282937.7999999998</v>
      </c>
      <c r="R1397" s="282">
        <f>SUM(R1388:R1396)</f>
        <v>12659927.800000001</v>
      </c>
      <c r="S1397" s="286">
        <f>R1397/100*10</f>
        <v>1265992.78</v>
      </c>
      <c r="T1397" s="104">
        <v>65</v>
      </c>
      <c r="U1397" s="304"/>
    </row>
    <row r="1398" spans="1:21" ht="15.75" customHeight="1" x14ac:dyDescent="0.35">
      <c r="A1398" s="218" t="s">
        <v>3696</v>
      </c>
      <c r="B1398" s="3">
        <v>1329</v>
      </c>
      <c r="C1398" s="58">
        <v>102000401</v>
      </c>
      <c r="D1398" s="21" t="s">
        <v>972</v>
      </c>
      <c r="E1398" s="18" t="s">
        <v>4085</v>
      </c>
      <c r="F1398" s="7">
        <v>1</v>
      </c>
      <c r="G1398" s="3" t="s">
        <v>0</v>
      </c>
      <c r="H1398" s="33">
        <v>42277</v>
      </c>
      <c r="I1398" s="4" t="s">
        <v>999</v>
      </c>
      <c r="J1398" s="4" t="s">
        <v>1962</v>
      </c>
      <c r="K1398" s="4" t="s">
        <v>988</v>
      </c>
      <c r="L1398" s="5" t="s">
        <v>871</v>
      </c>
      <c r="M1398" s="72">
        <f t="shared" si="275"/>
        <v>71004.05</v>
      </c>
      <c r="N1398" s="72">
        <f>O1398/F1398</f>
        <v>71004.05</v>
      </c>
      <c r="O1398" s="72">
        <v>71004.05</v>
      </c>
      <c r="P1398" s="72">
        <v>62540</v>
      </c>
      <c r="Q1398" s="256">
        <f>R1398-P1398</f>
        <v>13758.8</v>
      </c>
      <c r="R1398" s="256">
        <f>P1398*1.22</f>
        <v>76298.8</v>
      </c>
      <c r="S1398" s="289"/>
      <c r="T1398" s="3">
        <v>66</v>
      </c>
      <c r="U1398" s="294" t="s">
        <v>4265</v>
      </c>
    </row>
    <row r="1399" spans="1:21" ht="19.5" customHeight="1" x14ac:dyDescent="0.35">
      <c r="A1399" s="218" t="s">
        <v>3697</v>
      </c>
      <c r="B1399" s="3">
        <v>1330</v>
      </c>
      <c r="C1399" s="58">
        <v>10106493</v>
      </c>
      <c r="D1399" s="21" t="s">
        <v>971</v>
      </c>
      <c r="E1399" s="18" t="s">
        <v>2201</v>
      </c>
      <c r="F1399" s="7">
        <v>1</v>
      </c>
      <c r="G1399" s="3" t="s">
        <v>0</v>
      </c>
      <c r="H1399" s="33">
        <v>42307</v>
      </c>
      <c r="I1399" s="4" t="s">
        <v>999</v>
      </c>
      <c r="J1399" s="4" t="s">
        <v>1962</v>
      </c>
      <c r="K1399" s="4" t="s">
        <v>988</v>
      </c>
      <c r="L1399" s="5" t="s">
        <v>871</v>
      </c>
      <c r="M1399" s="72">
        <f t="shared" si="275"/>
        <v>14597.07</v>
      </c>
      <c r="N1399" s="72">
        <f>O1399/F1399</f>
        <v>14597.07</v>
      </c>
      <c r="O1399" s="72">
        <v>14597.07</v>
      </c>
      <c r="P1399" s="72">
        <v>16230</v>
      </c>
      <c r="Q1399" s="256">
        <f>R1399-P1399</f>
        <v>3570.6</v>
      </c>
      <c r="R1399" s="256">
        <f>P1399*1.22</f>
        <v>19800.599999999999</v>
      </c>
      <c r="S1399" s="297"/>
      <c r="T1399" s="3">
        <v>66</v>
      </c>
      <c r="U1399" s="294"/>
    </row>
    <row r="1400" spans="1:21" ht="19.5" customHeight="1" x14ac:dyDescent="0.35">
      <c r="A1400" s="218"/>
      <c r="B1400" s="94"/>
      <c r="C1400" s="58"/>
      <c r="D1400" s="21"/>
      <c r="E1400" s="18"/>
      <c r="F1400" s="7"/>
      <c r="G1400" s="3"/>
      <c r="H1400" s="33"/>
      <c r="I1400" s="4"/>
      <c r="J1400" s="4"/>
      <c r="K1400" s="4"/>
      <c r="L1400" s="5"/>
      <c r="M1400" s="72"/>
      <c r="N1400" s="72"/>
      <c r="O1400" s="82">
        <f>SUM(O1398:O1399)</f>
        <v>85601.12</v>
      </c>
      <c r="P1400" s="276">
        <f t="shared" ref="P1400:Q1400" si="280">SUM(P1398:P1399)</f>
        <v>78770</v>
      </c>
      <c r="Q1400" s="282">
        <f t="shared" si="280"/>
        <v>17329.400000000001</v>
      </c>
      <c r="R1400" s="282">
        <f>SUM(R1398:R1399)</f>
        <v>96099.4</v>
      </c>
      <c r="S1400" s="286">
        <f>R1400/100*10</f>
        <v>9609.94</v>
      </c>
      <c r="T1400" s="104">
        <v>66</v>
      </c>
      <c r="U1400" s="295"/>
    </row>
    <row r="1401" spans="1:21" ht="15" customHeight="1" x14ac:dyDescent="0.35">
      <c r="A1401" s="218" t="s">
        <v>3698</v>
      </c>
      <c r="B1401" s="3">
        <v>1331</v>
      </c>
      <c r="C1401" s="44">
        <v>10019982</v>
      </c>
      <c r="D1401" s="18" t="s">
        <v>1912</v>
      </c>
      <c r="E1401" s="19" t="s">
        <v>2219</v>
      </c>
      <c r="F1401" s="12">
        <v>4</v>
      </c>
      <c r="G1401" s="3" t="s">
        <v>0</v>
      </c>
      <c r="H1401" s="39">
        <v>42004</v>
      </c>
      <c r="I1401" s="27" t="s">
        <v>984</v>
      </c>
      <c r="J1401" s="4" t="s">
        <v>1962</v>
      </c>
      <c r="K1401" s="4" t="s">
        <v>988</v>
      </c>
      <c r="L1401" s="29" t="s">
        <v>977</v>
      </c>
      <c r="M1401" s="78">
        <f t="shared" si="275"/>
        <v>31960.68</v>
      </c>
      <c r="N1401" s="78">
        <f t="shared" ref="N1401:N1406" si="281">O1401/F1401</f>
        <v>7990.17</v>
      </c>
      <c r="O1401" s="78">
        <v>31960.68</v>
      </c>
      <c r="P1401" s="72">
        <v>58930</v>
      </c>
      <c r="Q1401" s="256">
        <f t="shared" ref="Q1401:Q1406" si="282">R1401-P1401</f>
        <v>12964.6</v>
      </c>
      <c r="R1401" s="256">
        <f t="shared" ref="R1401:R1406" si="283">P1401*1.22</f>
        <v>71894.600000000006</v>
      </c>
      <c r="S1401" s="289"/>
      <c r="T1401" s="3">
        <v>67</v>
      </c>
      <c r="U1401" s="294" t="s">
        <v>2339</v>
      </c>
    </row>
    <row r="1402" spans="1:21" ht="15" customHeight="1" x14ac:dyDescent="0.35">
      <c r="A1402" s="218" t="s">
        <v>3699</v>
      </c>
      <c r="B1402" s="3">
        <v>1332</v>
      </c>
      <c r="C1402" s="44">
        <v>10005574</v>
      </c>
      <c r="D1402" s="18" t="s">
        <v>1913</v>
      </c>
      <c r="E1402" s="19" t="s">
        <v>2219</v>
      </c>
      <c r="F1402" s="12">
        <v>10</v>
      </c>
      <c r="G1402" s="3" t="s">
        <v>0</v>
      </c>
      <c r="H1402" s="39">
        <v>42004</v>
      </c>
      <c r="I1402" s="27" t="s">
        <v>984</v>
      </c>
      <c r="J1402" s="4" t="s">
        <v>1962</v>
      </c>
      <c r="K1402" s="4" t="s">
        <v>988</v>
      </c>
      <c r="L1402" s="29" t="s">
        <v>977</v>
      </c>
      <c r="M1402" s="78">
        <f t="shared" si="275"/>
        <v>2175.58</v>
      </c>
      <c r="N1402" s="78">
        <f t="shared" si="281"/>
        <v>217.56</v>
      </c>
      <c r="O1402" s="78">
        <v>2175.58</v>
      </c>
      <c r="P1402" s="72">
        <v>4010</v>
      </c>
      <c r="Q1402" s="256">
        <f t="shared" si="282"/>
        <v>882.2</v>
      </c>
      <c r="R1402" s="256">
        <f t="shared" si="283"/>
        <v>4892.2</v>
      </c>
      <c r="S1402" s="296"/>
      <c r="T1402" s="3">
        <v>67</v>
      </c>
      <c r="U1402" s="294"/>
    </row>
    <row r="1403" spans="1:21" ht="15" customHeight="1" x14ac:dyDescent="0.35">
      <c r="A1403" s="218" t="s">
        <v>3700</v>
      </c>
      <c r="B1403" s="3">
        <v>1333</v>
      </c>
      <c r="C1403" s="44">
        <v>10005579</v>
      </c>
      <c r="D1403" s="18" t="s">
        <v>1914</v>
      </c>
      <c r="E1403" s="19" t="s">
        <v>2219</v>
      </c>
      <c r="F1403" s="12">
        <v>4</v>
      </c>
      <c r="G1403" s="3" t="s">
        <v>0</v>
      </c>
      <c r="H1403" s="39">
        <v>42004</v>
      </c>
      <c r="I1403" s="27" t="s">
        <v>984</v>
      </c>
      <c r="J1403" s="4" t="s">
        <v>1962</v>
      </c>
      <c r="K1403" s="4" t="s">
        <v>988</v>
      </c>
      <c r="L1403" s="29" t="s">
        <v>977</v>
      </c>
      <c r="M1403" s="78">
        <f t="shared" si="275"/>
        <v>5215.8</v>
      </c>
      <c r="N1403" s="78">
        <f t="shared" si="281"/>
        <v>1303.95</v>
      </c>
      <c r="O1403" s="78">
        <v>5215.8</v>
      </c>
      <c r="P1403" s="72">
        <v>9620</v>
      </c>
      <c r="Q1403" s="256">
        <f t="shared" si="282"/>
        <v>2116.4</v>
      </c>
      <c r="R1403" s="256">
        <f t="shared" si="283"/>
        <v>11736.4</v>
      </c>
      <c r="S1403" s="296"/>
      <c r="T1403" s="3">
        <v>67</v>
      </c>
      <c r="U1403" s="294"/>
    </row>
    <row r="1404" spans="1:21" ht="15" customHeight="1" x14ac:dyDescent="0.35">
      <c r="A1404" s="218" t="s">
        <v>3701</v>
      </c>
      <c r="B1404" s="3">
        <v>1334</v>
      </c>
      <c r="C1404" s="44">
        <v>10017090</v>
      </c>
      <c r="D1404" s="18" t="s">
        <v>1915</v>
      </c>
      <c r="E1404" s="19" t="s">
        <v>2219</v>
      </c>
      <c r="F1404" s="12">
        <v>10</v>
      </c>
      <c r="G1404" s="3" t="s">
        <v>0</v>
      </c>
      <c r="H1404" s="39">
        <v>42004</v>
      </c>
      <c r="I1404" s="27" t="s">
        <v>984</v>
      </c>
      <c r="J1404" s="4" t="s">
        <v>1962</v>
      </c>
      <c r="K1404" s="4" t="s">
        <v>988</v>
      </c>
      <c r="L1404" s="29" t="s">
        <v>977</v>
      </c>
      <c r="M1404" s="78">
        <f t="shared" si="275"/>
        <v>12196.1</v>
      </c>
      <c r="N1404" s="78">
        <f t="shared" si="281"/>
        <v>1219.6099999999999</v>
      </c>
      <c r="O1404" s="78">
        <v>12196.1</v>
      </c>
      <c r="P1404" s="72">
        <v>22490</v>
      </c>
      <c r="Q1404" s="256">
        <f t="shared" si="282"/>
        <v>4947.8</v>
      </c>
      <c r="R1404" s="256">
        <f t="shared" si="283"/>
        <v>27437.8</v>
      </c>
      <c r="S1404" s="296"/>
      <c r="T1404" s="3">
        <v>67</v>
      </c>
      <c r="U1404" s="294"/>
    </row>
    <row r="1405" spans="1:21" ht="15" customHeight="1" x14ac:dyDescent="0.35">
      <c r="A1405" s="218" t="s">
        <v>3702</v>
      </c>
      <c r="B1405" s="3">
        <v>1335</v>
      </c>
      <c r="C1405" s="65">
        <v>10008314</v>
      </c>
      <c r="D1405" s="8" t="s">
        <v>1444</v>
      </c>
      <c r="E1405" s="19" t="s">
        <v>2219</v>
      </c>
      <c r="F1405" s="92">
        <v>3</v>
      </c>
      <c r="G1405" s="3" t="s">
        <v>0</v>
      </c>
      <c r="H1405" s="40">
        <v>41426</v>
      </c>
      <c r="I1405" s="27" t="s">
        <v>984</v>
      </c>
      <c r="J1405" s="41" t="s">
        <v>1409</v>
      </c>
      <c r="K1405" s="4" t="s">
        <v>988</v>
      </c>
      <c r="L1405" s="29" t="s">
        <v>977</v>
      </c>
      <c r="M1405" s="78">
        <f t="shared" si="275"/>
        <v>1583.91</v>
      </c>
      <c r="N1405" s="78">
        <f t="shared" si="281"/>
        <v>527.97</v>
      </c>
      <c r="O1405" s="78">
        <v>1583.91</v>
      </c>
      <c r="P1405" s="72">
        <v>3140</v>
      </c>
      <c r="Q1405" s="256">
        <f t="shared" si="282"/>
        <v>690.8</v>
      </c>
      <c r="R1405" s="256">
        <f t="shared" si="283"/>
        <v>3830.8</v>
      </c>
      <c r="S1405" s="296"/>
      <c r="T1405" s="3">
        <v>67</v>
      </c>
      <c r="U1405" s="294"/>
    </row>
    <row r="1406" spans="1:21" ht="15" customHeight="1" x14ac:dyDescent="0.35">
      <c r="A1406" s="218" t="s">
        <v>3703</v>
      </c>
      <c r="B1406" s="3">
        <v>1336</v>
      </c>
      <c r="C1406" s="65">
        <v>10142991</v>
      </c>
      <c r="D1406" s="8" t="s">
        <v>1445</v>
      </c>
      <c r="E1406" s="19" t="s">
        <v>2219</v>
      </c>
      <c r="F1406" s="92">
        <v>5</v>
      </c>
      <c r="G1406" s="3" t="s">
        <v>0</v>
      </c>
      <c r="H1406" s="40">
        <v>41061</v>
      </c>
      <c r="I1406" s="27" t="s">
        <v>984</v>
      </c>
      <c r="J1406" s="4" t="s">
        <v>1962</v>
      </c>
      <c r="K1406" s="4" t="s">
        <v>988</v>
      </c>
      <c r="L1406" s="29" t="s">
        <v>977</v>
      </c>
      <c r="M1406" s="78">
        <f t="shared" si="275"/>
        <v>8100</v>
      </c>
      <c r="N1406" s="78">
        <f t="shared" si="281"/>
        <v>1620</v>
      </c>
      <c r="O1406" s="78">
        <v>8100</v>
      </c>
      <c r="P1406" s="72">
        <v>16750</v>
      </c>
      <c r="Q1406" s="256">
        <f t="shared" si="282"/>
        <v>3685</v>
      </c>
      <c r="R1406" s="256">
        <f t="shared" si="283"/>
        <v>20435</v>
      </c>
      <c r="S1406" s="297"/>
      <c r="T1406" s="3">
        <v>67</v>
      </c>
      <c r="U1406" s="294"/>
    </row>
    <row r="1407" spans="1:21" ht="15" customHeight="1" x14ac:dyDescent="0.35">
      <c r="A1407" s="218"/>
      <c r="B1407" s="94"/>
      <c r="C1407" s="65"/>
      <c r="D1407" s="8"/>
      <c r="E1407" s="19"/>
      <c r="F1407" s="92"/>
      <c r="G1407" s="3"/>
      <c r="H1407" s="40"/>
      <c r="I1407" s="27"/>
      <c r="J1407" s="4"/>
      <c r="K1407" s="4"/>
      <c r="L1407" s="29"/>
      <c r="M1407" s="78"/>
      <c r="N1407" s="78"/>
      <c r="O1407" s="108">
        <f>SUM(O1401:O1406)</f>
        <v>61232.07</v>
      </c>
      <c r="P1407" s="276">
        <f t="shared" ref="P1407:Q1407" si="284">SUM(P1401:P1406)</f>
        <v>114940</v>
      </c>
      <c r="Q1407" s="282">
        <f t="shared" si="284"/>
        <v>25286.799999999999</v>
      </c>
      <c r="R1407" s="282">
        <f>SUM(R1401:R1406)</f>
        <v>140226.79999999999</v>
      </c>
      <c r="S1407" s="286">
        <f>R1407/100*10</f>
        <v>14022.68</v>
      </c>
      <c r="T1407" s="104">
        <v>67</v>
      </c>
      <c r="U1407" s="295"/>
    </row>
    <row r="1408" spans="1:21" ht="26.15" customHeight="1" x14ac:dyDescent="0.35">
      <c r="A1408" s="218" t="s">
        <v>3704</v>
      </c>
      <c r="B1408" s="3">
        <v>1337</v>
      </c>
      <c r="C1408" s="44">
        <v>10005508</v>
      </c>
      <c r="D1408" s="18" t="s">
        <v>144</v>
      </c>
      <c r="E1408" s="18" t="s">
        <v>4274</v>
      </c>
      <c r="F1408" s="12">
        <v>2</v>
      </c>
      <c r="G1408" s="3" t="s">
        <v>0</v>
      </c>
      <c r="H1408" s="5">
        <v>42004</v>
      </c>
      <c r="I1408" s="5" t="s">
        <v>985</v>
      </c>
      <c r="J1408" s="4" t="s">
        <v>1962</v>
      </c>
      <c r="K1408" s="6" t="s">
        <v>144</v>
      </c>
      <c r="L1408" s="6" t="s">
        <v>871</v>
      </c>
      <c r="M1408" s="81">
        <f t="shared" si="275"/>
        <v>628.29999999999995</v>
      </c>
      <c r="N1408" s="81">
        <f t="shared" ref="N1408:N1432" si="285">O1408/F1408</f>
        <v>314.14999999999998</v>
      </c>
      <c r="O1408" s="81">
        <v>628.29999999999995</v>
      </c>
      <c r="P1408" s="72">
        <v>510</v>
      </c>
      <c r="Q1408" s="256">
        <f t="shared" ref="Q1408:Q1450" si="286">R1408-P1408</f>
        <v>112.2</v>
      </c>
      <c r="R1408" s="256">
        <f t="shared" ref="R1408:R1450" si="287">P1408*1.22</f>
        <v>622.20000000000005</v>
      </c>
      <c r="S1408" s="289"/>
      <c r="T1408" s="3">
        <v>68</v>
      </c>
      <c r="U1408" s="292" t="s">
        <v>2339</v>
      </c>
    </row>
    <row r="1409" spans="1:21" ht="32.5" customHeight="1" x14ac:dyDescent="0.35">
      <c r="A1409" s="218" t="s">
        <v>3705</v>
      </c>
      <c r="B1409" s="3">
        <v>1338</v>
      </c>
      <c r="C1409" s="44">
        <v>10005556</v>
      </c>
      <c r="D1409" s="18" t="s">
        <v>149</v>
      </c>
      <c r="E1409" s="18" t="s">
        <v>4274</v>
      </c>
      <c r="F1409" s="12">
        <v>6</v>
      </c>
      <c r="G1409" s="3" t="s">
        <v>0</v>
      </c>
      <c r="H1409" s="5">
        <v>42004</v>
      </c>
      <c r="I1409" s="5" t="s">
        <v>985</v>
      </c>
      <c r="J1409" s="4" t="s">
        <v>1962</v>
      </c>
      <c r="K1409" s="6" t="s">
        <v>149</v>
      </c>
      <c r="L1409" s="6" t="s">
        <v>871</v>
      </c>
      <c r="M1409" s="81">
        <f t="shared" si="275"/>
        <v>2932.91</v>
      </c>
      <c r="N1409" s="81">
        <f t="shared" si="285"/>
        <v>488.82</v>
      </c>
      <c r="O1409" s="81">
        <v>2932.91</v>
      </c>
      <c r="P1409" s="72">
        <v>2380</v>
      </c>
      <c r="Q1409" s="256">
        <f t="shared" si="286"/>
        <v>523.6</v>
      </c>
      <c r="R1409" s="256">
        <f t="shared" si="287"/>
        <v>2903.6</v>
      </c>
      <c r="S1409" s="296"/>
      <c r="T1409" s="3">
        <v>68</v>
      </c>
      <c r="U1409" s="293"/>
    </row>
    <row r="1410" spans="1:21" ht="22" customHeight="1" x14ac:dyDescent="0.35">
      <c r="A1410" s="218" t="s">
        <v>3706</v>
      </c>
      <c r="B1410" s="3">
        <v>1339</v>
      </c>
      <c r="C1410" s="44">
        <v>10005499</v>
      </c>
      <c r="D1410" s="18" t="s">
        <v>190</v>
      </c>
      <c r="E1410" s="18" t="s">
        <v>4274</v>
      </c>
      <c r="F1410" s="12">
        <v>2</v>
      </c>
      <c r="G1410" s="3" t="s">
        <v>0</v>
      </c>
      <c r="H1410" s="5">
        <v>39763</v>
      </c>
      <c r="I1410" s="5" t="s">
        <v>985</v>
      </c>
      <c r="J1410" s="4" t="s">
        <v>1962</v>
      </c>
      <c r="K1410" s="6" t="s">
        <v>190</v>
      </c>
      <c r="L1410" s="6" t="s">
        <v>871</v>
      </c>
      <c r="M1410" s="81">
        <f t="shared" si="275"/>
        <v>1074.28</v>
      </c>
      <c r="N1410" s="81">
        <f t="shared" si="285"/>
        <v>537.14</v>
      </c>
      <c r="O1410" s="81">
        <v>1074.28</v>
      </c>
      <c r="P1410" s="72">
        <v>1210</v>
      </c>
      <c r="Q1410" s="256">
        <f t="shared" si="286"/>
        <v>266.2</v>
      </c>
      <c r="R1410" s="256">
        <f t="shared" si="287"/>
        <v>1476.2</v>
      </c>
      <c r="S1410" s="296"/>
      <c r="T1410" s="3">
        <v>68</v>
      </c>
      <c r="U1410" s="293"/>
    </row>
    <row r="1411" spans="1:21" ht="24" customHeight="1" x14ac:dyDescent="0.35">
      <c r="A1411" s="218" t="s">
        <v>3707</v>
      </c>
      <c r="B1411" s="3">
        <v>1340</v>
      </c>
      <c r="C1411" s="44">
        <v>10005504</v>
      </c>
      <c r="D1411" s="18" t="s">
        <v>191</v>
      </c>
      <c r="E1411" s="18" t="s">
        <v>2232</v>
      </c>
      <c r="F1411" s="12">
        <v>2</v>
      </c>
      <c r="G1411" s="3" t="s">
        <v>0</v>
      </c>
      <c r="H1411" s="5">
        <v>39763</v>
      </c>
      <c r="I1411" s="38" t="s">
        <v>985</v>
      </c>
      <c r="J1411" s="4" t="s">
        <v>1962</v>
      </c>
      <c r="K1411" s="6" t="s">
        <v>191</v>
      </c>
      <c r="L1411" s="6" t="s">
        <v>871</v>
      </c>
      <c r="M1411" s="81">
        <f t="shared" si="275"/>
        <v>221.67</v>
      </c>
      <c r="N1411" s="81">
        <f t="shared" si="285"/>
        <v>110.84</v>
      </c>
      <c r="O1411" s="81">
        <v>221.67</v>
      </c>
      <c r="P1411" s="72">
        <v>250</v>
      </c>
      <c r="Q1411" s="256">
        <f t="shared" si="286"/>
        <v>55</v>
      </c>
      <c r="R1411" s="256">
        <f t="shared" si="287"/>
        <v>305</v>
      </c>
      <c r="S1411" s="296"/>
      <c r="T1411" s="3">
        <v>68</v>
      </c>
      <c r="U1411" s="293"/>
    </row>
    <row r="1412" spans="1:21" ht="28.5" customHeight="1" x14ac:dyDescent="0.35">
      <c r="A1412" s="218" t="s">
        <v>3708</v>
      </c>
      <c r="B1412" s="3">
        <v>1341</v>
      </c>
      <c r="C1412" s="44">
        <v>10005535</v>
      </c>
      <c r="D1412" s="18" t="s">
        <v>192</v>
      </c>
      <c r="E1412" s="18" t="s">
        <v>4274</v>
      </c>
      <c r="F1412" s="12">
        <v>2</v>
      </c>
      <c r="G1412" s="3" t="s">
        <v>0</v>
      </c>
      <c r="H1412" s="5">
        <v>39763</v>
      </c>
      <c r="I1412" s="5" t="s">
        <v>985</v>
      </c>
      <c r="J1412" s="4" t="s">
        <v>1962</v>
      </c>
      <c r="K1412" s="6" t="s">
        <v>192</v>
      </c>
      <c r="L1412" s="6" t="s">
        <v>871</v>
      </c>
      <c r="M1412" s="81">
        <f t="shared" si="275"/>
        <v>2550.23</v>
      </c>
      <c r="N1412" s="81">
        <f t="shared" si="285"/>
        <v>1275.1199999999999</v>
      </c>
      <c r="O1412" s="81">
        <v>2550.23</v>
      </c>
      <c r="P1412" s="72">
        <v>2870</v>
      </c>
      <c r="Q1412" s="256">
        <f t="shared" si="286"/>
        <v>631.4</v>
      </c>
      <c r="R1412" s="256">
        <f t="shared" si="287"/>
        <v>3501.4</v>
      </c>
      <c r="S1412" s="296"/>
      <c r="T1412" s="3">
        <v>68</v>
      </c>
      <c r="U1412" s="293"/>
    </row>
    <row r="1413" spans="1:21" ht="15" customHeight="1" x14ac:dyDescent="0.35">
      <c r="A1413" s="218" t="s">
        <v>3709</v>
      </c>
      <c r="B1413" s="3">
        <v>1342</v>
      </c>
      <c r="C1413" s="44">
        <v>10005572</v>
      </c>
      <c r="D1413" s="18" t="s">
        <v>193</v>
      </c>
      <c r="E1413" s="18" t="s">
        <v>4274</v>
      </c>
      <c r="F1413" s="12">
        <v>2</v>
      </c>
      <c r="G1413" s="3" t="s">
        <v>0</v>
      </c>
      <c r="H1413" s="5">
        <v>39763</v>
      </c>
      <c r="I1413" s="5" t="s">
        <v>985</v>
      </c>
      <c r="J1413" s="4" t="s">
        <v>1962</v>
      </c>
      <c r="K1413" s="6" t="s">
        <v>193</v>
      </c>
      <c r="L1413" s="6" t="s">
        <v>871</v>
      </c>
      <c r="M1413" s="81">
        <f t="shared" si="275"/>
        <v>5232.0200000000004</v>
      </c>
      <c r="N1413" s="81">
        <f t="shared" si="285"/>
        <v>2616.0100000000002</v>
      </c>
      <c r="O1413" s="81">
        <v>5232.0200000000004</v>
      </c>
      <c r="P1413" s="72">
        <v>5880</v>
      </c>
      <c r="Q1413" s="256">
        <f t="shared" si="286"/>
        <v>1293.5999999999999</v>
      </c>
      <c r="R1413" s="256">
        <f t="shared" si="287"/>
        <v>7173.6</v>
      </c>
      <c r="S1413" s="296"/>
      <c r="T1413" s="3">
        <v>68</v>
      </c>
      <c r="U1413" s="293"/>
    </row>
    <row r="1414" spans="1:21" ht="32.25" customHeight="1" x14ac:dyDescent="0.35">
      <c r="A1414" s="218" t="s">
        <v>3710</v>
      </c>
      <c r="B1414" s="3">
        <v>1343</v>
      </c>
      <c r="C1414" s="44">
        <v>10005627</v>
      </c>
      <c r="D1414" s="18" t="s">
        <v>194</v>
      </c>
      <c r="E1414" s="18" t="s">
        <v>4274</v>
      </c>
      <c r="F1414" s="12">
        <v>2</v>
      </c>
      <c r="G1414" s="3" t="s">
        <v>0</v>
      </c>
      <c r="H1414" s="5">
        <v>39763</v>
      </c>
      <c r="I1414" s="5" t="s">
        <v>985</v>
      </c>
      <c r="J1414" s="4" t="s">
        <v>1962</v>
      </c>
      <c r="K1414" s="6" t="s">
        <v>194</v>
      </c>
      <c r="L1414" s="6" t="s">
        <v>871</v>
      </c>
      <c r="M1414" s="81">
        <f t="shared" si="275"/>
        <v>4603.68</v>
      </c>
      <c r="N1414" s="81">
        <f t="shared" si="285"/>
        <v>2301.84</v>
      </c>
      <c r="O1414" s="81">
        <v>4603.68</v>
      </c>
      <c r="P1414" s="72">
        <v>5180</v>
      </c>
      <c r="Q1414" s="256">
        <f t="shared" si="286"/>
        <v>1139.5999999999999</v>
      </c>
      <c r="R1414" s="256">
        <f t="shared" si="287"/>
        <v>6319.6</v>
      </c>
      <c r="S1414" s="296"/>
      <c r="T1414" s="3">
        <v>68</v>
      </c>
      <c r="U1414" s="293"/>
    </row>
    <row r="1415" spans="1:21" ht="30.75" customHeight="1" x14ac:dyDescent="0.35">
      <c r="A1415" s="218" t="s">
        <v>3711</v>
      </c>
      <c r="B1415" s="3">
        <v>1344</v>
      </c>
      <c r="C1415" s="44">
        <v>10019436</v>
      </c>
      <c r="D1415" s="18" t="s">
        <v>195</v>
      </c>
      <c r="E1415" s="18" t="s">
        <v>4274</v>
      </c>
      <c r="F1415" s="12">
        <v>2</v>
      </c>
      <c r="G1415" s="3" t="s">
        <v>0</v>
      </c>
      <c r="H1415" s="5">
        <v>39763</v>
      </c>
      <c r="I1415" s="5" t="s">
        <v>985</v>
      </c>
      <c r="J1415" s="4" t="s">
        <v>1962</v>
      </c>
      <c r="K1415" s="6" t="s">
        <v>195</v>
      </c>
      <c r="L1415" s="6" t="s">
        <v>871</v>
      </c>
      <c r="M1415" s="81">
        <f t="shared" si="275"/>
        <v>3531.11</v>
      </c>
      <c r="N1415" s="81">
        <f t="shared" si="285"/>
        <v>1765.56</v>
      </c>
      <c r="O1415" s="81">
        <v>3531.11</v>
      </c>
      <c r="P1415" s="72">
        <v>3970</v>
      </c>
      <c r="Q1415" s="256">
        <f t="shared" si="286"/>
        <v>873.4</v>
      </c>
      <c r="R1415" s="256">
        <f t="shared" si="287"/>
        <v>4843.3999999999996</v>
      </c>
      <c r="S1415" s="296"/>
      <c r="T1415" s="3">
        <v>68</v>
      </c>
      <c r="U1415" s="293"/>
    </row>
    <row r="1416" spans="1:21" ht="29.25" customHeight="1" x14ac:dyDescent="0.35">
      <c r="A1416" s="218" t="s">
        <v>3712</v>
      </c>
      <c r="B1416" s="3">
        <v>1345</v>
      </c>
      <c r="C1416" s="44">
        <v>10019965</v>
      </c>
      <c r="D1416" s="18" t="s">
        <v>196</v>
      </c>
      <c r="E1416" s="18" t="s">
        <v>4274</v>
      </c>
      <c r="F1416" s="12">
        <v>2</v>
      </c>
      <c r="G1416" s="3" t="s">
        <v>0</v>
      </c>
      <c r="H1416" s="5">
        <v>39763</v>
      </c>
      <c r="I1416" s="5" t="s">
        <v>985</v>
      </c>
      <c r="J1416" s="4" t="s">
        <v>1962</v>
      </c>
      <c r="K1416" s="6" t="s">
        <v>196</v>
      </c>
      <c r="L1416" s="6" t="s">
        <v>871</v>
      </c>
      <c r="M1416" s="81">
        <f t="shared" si="275"/>
        <v>191.69</v>
      </c>
      <c r="N1416" s="81">
        <f t="shared" si="285"/>
        <v>95.85</v>
      </c>
      <c r="O1416" s="81">
        <v>191.69</v>
      </c>
      <c r="P1416" s="72">
        <v>220</v>
      </c>
      <c r="Q1416" s="256">
        <f t="shared" si="286"/>
        <v>48.4</v>
      </c>
      <c r="R1416" s="256">
        <f t="shared" si="287"/>
        <v>268.39999999999998</v>
      </c>
      <c r="S1416" s="296"/>
      <c r="T1416" s="3">
        <v>68</v>
      </c>
      <c r="U1416" s="293"/>
    </row>
    <row r="1417" spans="1:21" ht="33.75" customHeight="1" x14ac:dyDescent="0.35">
      <c r="A1417" s="218" t="s">
        <v>3713</v>
      </c>
      <c r="B1417" s="3">
        <v>1346</v>
      </c>
      <c r="C1417" s="44">
        <v>10020991</v>
      </c>
      <c r="D1417" s="18" t="s">
        <v>197</v>
      </c>
      <c r="E1417" s="18" t="s">
        <v>4274</v>
      </c>
      <c r="F1417" s="12">
        <v>2</v>
      </c>
      <c r="G1417" s="3" t="s">
        <v>0</v>
      </c>
      <c r="H1417" s="5">
        <v>39763</v>
      </c>
      <c r="I1417" s="5" t="s">
        <v>985</v>
      </c>
      <c r="J1417" s="4" t="s">
        <v>1962</v>
      </c>
      <c r="K1417" s="6" t="s">
        <v>197</v>
      </c>
      <c r="L1417" s="6" t="s">
        <v>871</v>
      </c>
      <c r="M1417" s="81">
        <f t="shared" si="275"/>
        <v>1115.72</v>
      </c>
      <c r="N1417" s="81">
        <f t="shared" si="285"/>
        <v>557.86</v>
      </c>
      <c r="O1417" s="81">
        <v>1115.72</v>
      </c>
      <c r="P1417" s="72">
        <v>1250</v>
      </c>
      <c r="Q1417" s="256">
        <f t="shared" si="286"/>
        <v>275</v>
      </c>
      <c r="R1417" s="256">
        <f t="shared" si="287"/>
        <v>1525</v>
      </c>
      <c r="S1417" s="296"/>
      <c r="T1417" s="3">
        <v>68</v>
      </c>
      <c r="U1417" s="293"/>
    </row>
    <row r="1418" spans="1:21" ht="27.65" customHeight="1" x14ac:dyDescent="0.35">
      <c r="A1418" s="218" t="s">
        <v>3714</v>
      </c>
      <c r="B1418" s="3">
        <v>1347</v>
      </c>
      <c r="C1418" s="44">
        <v>10023393</v>
      </c>
      <c r="D1418" s="18" t="s">
        <v>198</v>
      </c>
      <c r="E1418" s="18" t="s">
        <v>4274</v>
      </c>
      <c r="F1418" s="12">
        <v>2</v>
      </c>
      <c r="G1418" s="3" t="s">
        <v>0</v>
      </c>
      <c r="H1418" s="5">
        <v>39763</v>
      </c>
      <c r="I1418" s="5" t="s">
        <v>985</v>
      </c>
      <c r="J1418" s="4" t="s">
        <v>1962</v>
      </c>
      <c r="K1418" s="6" t="s">
        <v>198</v>
      </c>
      <c r="L1418" s="6" t="s">
        <v>871</v>
      </c>
      <c r="M1418" s="81">
        <f t="shared" si="275"/>
        <v>1593.98</v>
      </c>
      <c r="N1418" s="81">
        <f t="shared" si="285"/>
        <v>796.99</v>
      </c>
      <c r="O1418" s="81">
        <v>1593.98</v>
      </c>
      <c r="P1418" s="72">
        <v>1790</v>
      </c>
      <c r="Q1418" s="256">
        <f t="shared" si="286"/>
        <v>393.8</v>
      </c>
      <c r="R1418" s="256">
        <f t="shared" si="287"/>
        <v>2183.8000000000002</v>
      </c>
      <c r="S1418" s="296"/>
      <c r="T1418" s="3">
        <v>68</v>
      </c>
      <c r="U1418" s="293"/>
    </row>
    <row r="1419" spans="1:21" ht="15" customHeight="1" x14ac:dyDescent="0.35">
      <c r="A1419" s="218" t="s">
        <v>3715</v>
      </c>
      <c r="B1419" s="3">
        <v>1348</v>
      </c>
      <c r="C1419" s="44">
        <v>10047745</v>
      </c>
      <c r="D1419" s="18" t="s">
        <v>199</v>
      </c>
      <c r="E1419" s="18" t="s">
        <v>4274</v>
      </c>
      <c r="F1419" s="12">
        <v>2</v>
      </c>
      <c r="G1419" s="3" t="s">
        <v>0</v>
      </c>
      <c r="H1419" s="5">
        <v>39763</v>
      </c>
      <c r="I1419" s="5" t="s">
        <v>985</v>
      </c>
      <c r="J1419" s="4" t="s">
        <v>1962</v>
      </c>
      <c r="K1419" s="6" t="s">
        <v>199</v>
      </c>
      <c r="L1419" s="6" t="s">
        <v>871</v>
      </c>
      <c r="M1419" s="81">
        <f t="shared" si="275"/>
        <v>66.739999999999995</v>
      </c>
      <c r="N1419" s="81">
        <f t="shared" si="285"/>
        <v>33.369999999999997</v>
      </c>
      <c r="O1419" s="81">
        <v>66.739999999999995</v>
      </c>
      <c r="P1419" s="72">
        <v>80</v>
      </c>
      <c r="Q1419" s="256">
        <f t="shared" si="286"/>
        <v>17.600000000000001</v>
      </c>
      <c r="R1419" s="256">
        <f t="shared" si="287"/>
        <v>97.6</v>
      </c>
      <c r="S1419" s="296"/>
      <c r="T1419" s="3">
        <v>68</v>
      </c>
      <c r="U1419" s="293"/>
    </row>
    <row r="1420" spans="1:21" ht="15" customHeight="1" x14ac:dyDescent="0.35">
      <c r="A1420" s="218" t="s">
        <v>3716</v>
      </c>
      <c r="B1420" s="3">
        <v>1349</v>
      </c>
      <c r="C1420" s="44">
        <v>10047763</v>
      </c>
      <c r="D1420" s="18" t="s">
        <v>200</v>
      </c>
      <c r="E1420" s="18" t="s">
        <v>4274</v>
      </c>
      <c r="F1420" s="12">
        <v>2</v>
      </c>
      <c r="G1420" s="3" t="s">
        <v>0</v>
      </c>
      <c r="H1420" s="5">
        <v>39763</v>
      </c>
      <c r="I1420" s="5" t="s">
        <v>985</v>
      </c>
      <c r="J1420" s="4" t="s">
        <v>1962</v>
      </c>
      <c r="K1420" s="6" t="s">
        <v>200</v>
      </c>
      <c r="L1420" s="6" t="s">
        <v>871</v>
      </c>
      <c r="M1420" s="81">
        <f t="shared" si="275"/>
        <v>94</v>
      </c>
      <c r="N1420" s="81">
        <f t="shared" si="285"/>
        <v>47</v>
      </c>
      <c r="O1420" s="81">
        <v>94</v>
      </c>
      <c r="P1420" s="72">
        <v>110</v>
      </c>
      <c r="Q1420" s="256">
        <f t="shared" si="286"/>
        <v>24.2</v>
      </c>
      <c r="R1420" s="256">
        <f t="shared" si="287"/>
        <v>134.19999999999999</v>
      </c>
      <c r="S1420" s="296"/>
      <c r="T1420" s="3">
        <v>68</v>
      </c>
      <c r="U1420" s="293"/>
    </row>
    <row r="1421" spans="1:21" ht="15" customHeight="1" x14ac:dyDescent="0.35">
      <c r="A1421" s="218" t="s">
        <v>3717</v>
      </c>
      <c r="B1421" s="3">
        <v>1350</v>
      </c>
      <c r="C1421" s="44">
        <v>10099104</v>
      </c>
      <c r="D1421" s="18" t="s">
        <v>204</v>
      </c>
      <c r="E1421" s="18" t="s">
        <v>4274</v>
      </c>
      <c r="F1421" s="12">
        <v>2</v>
      </c>
      <c r="G1421" s="3" t="s">
        <v>0</v>
      </c>
      <c r="H1421" s="5">
        <v>39763</v>
      </c>
      <c r="I1421" s="5" t="s">
        <v>985</v>
      </c>
      <c r="J1421" s="4" t="s">
        <v>1962</v>
      </c>
      <c r="K1421" s="6" t="s">
        <v>204</v>
      </c>
      <c r="L1421" s="6" t="s">
        <v>871</v>
      </c>
      <c r="M1421" s="81">
        <f t="shared" si="275"/>
        <v>7203.92</v>
      </c>
      <c r="N1421" s="81">
        <f t="shared" si="285"/>
        <v>3601.96</v>
      </c>
      <c r="O1421" s="81">
        <v>7203.92</v>
      </c>
      <c r="P1421" s="72">
        <v>8100</v>
      </c>
      <c r="Q1421" s="256">
        <f t="shared" si="286"/>
        <v>1782</v>
      </c>
      <c r="R1421" s="256">
        <f t="shared" si="287"/>
        <v>9882</v>
      </c>
      <c r="S1421" s="296"/>
      <c r="T1421" s="3">
        <v>68</v>
      </c>
      <c r="U1421" s="293"/>
    </row>
    <row r="1422" spans="1:21" ht="15" customHeight="1" x14ac:dyDescent="0.35">
      <c r="A1422" s="218" t="s">
        <v>3718</v>
      </c>
      <c r="B1422" s="3">
        <v>1351</v>
      </c>
      <c r="C1422" s="44">
        <v>10106207</v>
      </c>
      <c r="D1422" s="18" t="s">
        <v>206</v>
      </c>
      <c r="E1422" s="18" t="s">
        <v>4274</v>
      </c>
      <c r="F1422" s="12">
        <v>2</v>
      </c>
      <c r="G1422" s="3" t="s">
        <v>0</v>
      </c>
      <c r="H1422" s="5">
        <v>39763</v>
      </c>
      <c r="I1422" s="5" t="s">
        <v>985</v>
      </c>
      <c r="J1422" s="4" t="s">
        <v>1962</v>
      </c>
      <c r="K1422" s="6" t="s">
        <v>206</v>
      </c>
      <c r="L1422" s="6" t="s">
        <v>871</v>
      </c>
      <c r="M1422" s="81">
        <f t="shared" si="275"/>
        <v>1844.06</v>
      </c>
      <c r="N1422" s="81">
        <f t="shared" si="285"/>
        <v>922.03</v>
      </c>
      <c r="O1422" s="81">
        <v>1844.06</v>
      </c>
      <c r="P1422" s="72">
        <v>2070</v>
      </c>
      <c r="Q1422" s="256">
        <f t="shared" si="286"/>
        <v>455.4</v>
      </c>
      <c r="R1422" s="256">
        <f t="shared" si="287"/>
        <v>2525.4</v>
      </c>
      <c r="S1422" s="296"/>
      <c r="T1422" s="3">
        <v>68</v>
      </c>
      <c r="U1422" s="293"/>
    </row>
    <row r="1423" spans="1:21" ht="15" customHeight="1" x14ac:dyDescent="0.35">
      <c r="A1423" s="218" t="s">
        <v>3719</v>
      </c>
      <c r="B1423" s="3">
        <v>1352</v>
      </c>
      <c r="C1423" s="44">
        <v>10005552</v>
      </c>
      <c r="D1423" s="18" t="s">
        <v>208</v>
      </c>
      <c r="E1423" s="18" t="s">
        <v>4274</v>
      </c>
      <c r="F1423" s="12">
        <v>3</v>
      </c>
      <c r="G1423" s="3" t="s">
        <v>0</v>
      </c>
      <c r="H1423" s="5">
        <v>39763</v>
      </c>
      <c r="I1423" s="5" t="s">
        <v>985</v>
      </c>
      <c r="J1423" s="4" t="s">
        <v>1962</v>
      </c>
      <c r="K1423" s="6" t="s">
        <v>208</v>
      </c>
      <c r="L1423" s="6" t="s">
        <v>871</v>
      </c>
      <c r="M1423" s="81">
        <f t="shared" si="275"/>
        <v>600.12</v>
      </c>
      <c r="N1423" s="81">
        <f t="shared" si="285"/>
        <v>200.04</v>
      </c>
      <c r="O1423" s="81">
        <v>600.12</v>
      </c>
      <c r="P1423" s="72">
        <v>670</v>
      </c>
      <c r="Q1423" s="256">
        <f t="shared" si="286"/>
        <v>147.4</v>
      </c>
      <c r="R1423" s="256">
        <f t="shared" si="287"/>
        <v>817.4</v>
      </c>
      <c r="S1423" s="296"/>
      <c r="T1423" s="3">
        <v>68</v>
      </c>
      <c r="U1423" s="293"/>
    </row>
    <row r="1424" spans="1:21" ht="30" customHeight="1" x14ac:dyDescent="0.35">
      <c r="A1424" s="218" t="s">
        <v>3720</v>
      </c>
      <c r="B1424" s="3">
        <v>1353</v>
      </c>
      <c r="C1424" s="44">
        <v>10019560</v>
      </c>
      <c r="D1424" s="18" t="s">
        <v>209</v>
      </c>
      <c r="E1424" s="18" t="s">
        <v>4274</v>
      </c>
      <c r="F1424" s="12">
        <v>3</v>
      </c>
      <c r="G1424" s="3" t="s">
        <v>0</v>
      </c>
      <c r="H1424" s="5">
        <v>39763</v>
      </c>
      <c r="I1424" s="5" t="s">
        <v>985</v>
      </c>
      <c r="J1424" s="4" t="s">
        <v>1962</v>
      </c>
      <c r="K1424" s="6" t="s">
        <v>209</v>
      </c>
      <c r="L1424" s="6" t="s">
        <v>871</v>
      </c>
      <c r="M1424" s="81">
        <f t="shared" si="275"/>
        <v>731.37</v>
      </c>
      <c r="N1424" s="81">
        <f t="shared" si="285"/>
        <v>243.79</v>
      </c>
      <c r="O1424" s="81">
        <v>731.37</v>
      </c>
      <c r="P1424" s="72">
        <v>820</v>
      </c>
      <c r="Q1424" s="256">
        <f t="shared" si="286"/>
        <v>180.4</v>
      </c>
      <c r="R1424" s="256">
        <f t="shared" si="287"/>
        <v>1000.4</v>
      </c>
      <c r="S1424" s="296"/>
      <c r="T1424" s="3">
        <v>68</v>
      </c>
      <c r="U1424" s="293"/>
    </row>
    <row r="1425" spans="1:21" ht="27" customHeight="1" x14ac:dyDescent="0.35">
      <c r="A1425" s="218" t="s">
        <v>3721</v>
      </c>
      <c r="B1425" s="3">
        <v>1354</v>
      </c>
      <c r="C1425" s="44">
        <v>10005509</v>
      </c>
      <c r="D1425" s="18" t="s">
        <v>210</v>
      </c>
      <c r="E1425" s="18" t="s">
        <v>4274</v>
      </c>
      <c r="F1425" s="12">
        <v>4</v>
      </c>
      <c r="G1425" s="3" t="s">
        <v>0</v>
      </c>
      <c r="H1425" s="5">
        <v>39763</v>
      </c>
      <c r="I1425" s="5" t="s">
        <v>985</v>
      </c>
      <c r="J1425" s="4" t="s">
        <v>1962</v>
      </c>
      <c r="K1425" s="6" t="s">
        <v>210</v>
      </c>
      <c r="L1425" s="6" t="s">
        <v>871</v>
      </c>
      <c r="M1425" s="81">
        <f t="shared" si="275"/>
        <v>1711.03</v>
      </c>
      <c r="N1425" s="81">
        <f t="shared" si="285"/>
        <v>427.76</v>
      </c>
      <c r="O1425" s="81">
        <v>1711.03</v>
      </c>
      <c r="P1425" s="72">
        <v>1920</v>
      </c>
      <c r="Q1425" s="256">
        <f t="shared" si="286"/>
        <v>422.4</v>
      </c>
      <c r="R1425" s="256">
        <f t="shared" si="287"/>
        <v>2342.4</v>
      </c>
      <c r="S1425" s="296"/>
      <c r="T1425" s="3">
        <v>68</v>
      </c>
      <c r="U1425" s="293"/>
    </row>
    <row r="1426" spans="1:21" ht="23.15" customHeight="1" x14ac:dyDescent="0.35">
      <c r="A1426" s="218" t="s">
        <v>3722</v>
      </c>
      <c r="B1426" s="3">
        <v>1355</v>
      </c>
      <c r="C1426" s="44">
        <v>10005511</v>
      </c>
      <c r="D1426" s="18" t="s">
        <v>211</v>
      </c>
      <c r="E1426" s="18" t="s">
        <v>4274</v>
      </c>
      <c r="F1426" s="12">
        <v>4</v>
      </c>
      <c r="G1426" s="3" t="s">
        <v>0</v>
      </c>
      <c r="H1426" s="5">
        <v>39763</v>
      </c>
      <c r="I1426" s="5" t="s">
        <v>985</v>
      </c>
      <c r="J1426" s="4" t="s">
        <v>1962</v>
      </c>
      <c r="K1426" s="6" t="s">
        <v>211</v>
      </c>
      <c r="L1426" s="6" t="s">
        <v>871</v>
      </c>
      <c r="M1426" s="81">
        <f t="shared" si="275"/>
        <v>2068.9299999999998</v>
      </c>
      <c r="N1426" s="81">
        <f t="shared" si="285"/>
        <v>517.23</v>
      </c>
      <c r="O1426" s="81">
        <v>2068.9299999999998</v>
      </c>
      <c r="P1426" s="72">
        <v>2330</v>
      </c>
      <c r="Q1426" s="256">
        <f t="shared" si="286"/>
        <v>512.6</v>
      </c>
      <c r="R1426" s="256">
        <f t="shared" si="287"/>
        <v>2842.6</v>
      </c>
      <c r="S1426" s="296"/>
      <c r="T1426" s="3">
        <v>68</v>
      </c>
      <c r="U1426" s="293"/>
    </row>
    <row r="1427" spans="1:21" ht="15" customHeight="1" x14ac:dyDescent="0.35">
      <c r="A1427" s="218" t="s">
        <v>3723</v>
      </c>
      <c r="B1427" s="3">
        <v>1356</v>
      </c>
      <c r="C1427" s="44">
        <v>10005530</v>
      </c>
      <c r="D1427" s="18" t="s">
        <v>212</v>
      </c>
      <c r="E1427" s="18" t="s">
        <v>4274</v>
      </c>
      <c r="F1427" s="12">
        <v>4</v>
      </c>
      <c r="G1427" s="3" t="s">
        <v>0</v>
      </c>
      <c r="H1427" s="5">
        <v>39763</v>
      </c>
      <c r="I1427" s="5" t="s">
        <v>985</v>
      </c>
      <c r="J1427" s="4" t="s">
        <v>1962</v>
      </c>
      <c r="K1427" s="6" t="s">
        <v>212</v>
      </c>
      <c r="L1427" s="6" t="s">
        <v>871</v>
      </c>
      <c r="M1427" s="81">
        <f t="shared" si="275"/>
        <v>3560.72</v>
      </c>
      <c r="N1427" s="81">
        <f t="shared" si="285"/>
        <v>890.18</v>
      </c>
      <c r="O1427" s="81">
        <v>3560.72</v>
      </c>
      <c r="P1427" s="72">
        <v>4000</v>
      </c>
      <c r="Q1427" s="256">
        <f t="shared" si="286"/>
        <v>880</v>
      </c>
      <c r="R1427" s="256">
        <f t="shared" si="287"/>
        <v>4880</v>
      </c>
      <c r="S1427" s="296"/>
      <c r="T1427" s="3">
        <v>68</v>
      </c>
      <c r="U1427" s="293"/>
    </row>
    <row r="1428" spans="1:21" ht="25.5" customHeight="1" x14ac:dyDescent="0.35">
      <c r="A1428" s="218" t="s">
        <v>3724</v>
      </c>
      <c r="B1428" s="3">
        <v>1357</v>
      </c>
      <c r="C1428" s="44">
        <v>10005570</v>
      </c>
      <c r="D1428" s="18" t="s">
        <v>213</v>
      </c>
      <c r="E1428" s="18" t="s">
        <v>4274</v>
      </c>
      <c r="F1428" s="12">
        <v>5</v>
      </c>
      <c r="G1428" s="3" t="s">
        <v>0</v>
      </c>
      <c r="H1428" s="5">
        <v>39763</v>
      </c>
      <c r="I1428" s="5" t="s">
        <v>985</v>
      </c>
      <c r="J1428" s="4" t="s">
        <v>1962</v>
      </c>
      <c r="K1428" s="6" t="s">
        <v>213</v>
      </c>
      <c r="L1428" s="6" t="s">
        <v>871</v>
      </c>
      <c r="M1428" s="81">
        <f t="shared" si="275"/>
        <v>15692.8</v>
      </c>
      <c r="N1428" s="81">
        <f t="shared" si="285"/>
        <v>3138.56</v>
      </c>
      <c r="O1428" s="81">
        <v>15692.8</v>
      </c>
      <c r="P1428" s="72">
        <v>17650</v>
      </c>
      <c r="Q1428" s="256">
        <f t="shared" si="286"/>
        <v>3883</v>
      </c>
      <c r="R1428" s="256">
        <f t="shared" si="287"/>
        <v>21533</v>
      </c>
      <c r="S1428" s="296"/>
      <c r="T1428" s="3">
        <v>68</v>
      </c>
      <c r="U1428" s="293"/>
    </row>
    <row r="1429" spans="1:21" ht="19.5" customHeight="1" x14ac:dyDescent="0.35">
      <c r="A1429" s="218" t="s">
        <v>3725</v>
      </c>
      <c r="B1429" s="3">
        <v>1358</v>
      </c>
      <c r="C1429" s="44">
        <v>10005558</v>
      </c>
      <c r="D1429" s="18" t="s">
        <v>214</v>
      </c>
      <c r="E1429" s="18" t="s">
        <v>4274</v>
      </c>
      <c r="F1429" s="12">
        <f>6-1</f>
        <v>5</v>
      </c>
      <c r="G1429" s="3" t="s">
        <v>0</v>
      </c>
      <c r="H1429" s="5">
        <v>39763</v>
      </c>
      <c r="I1429" s="5" t="s">
        <v>985</v>
      </c>
      <c r="J1429" s="4" t="s">
        <v>1962</v>
      </c>
      <c r="K1429" s="6" t="s">
        <v>214</v>
      </c>
      <c r="L1429" s="6" t="s">
        <v>871</v>
      </c>
      <c r="M1429" s="81">
        <f t="shared" si="275"/>
        <v>3316.53</v>
      </c>
      <c r="N1429" s="81">
        <f t="shared" si="285"/>
        <v>663.31</v>
      </c>
      <c r="O1429" s="81">
        <f>3979.84/6*5</f>
        <v>3316.53</v>
      </c>
      <c r="P1429" s="72">
        <v>3730</v>
      </c>
      <c r="Q1429" s="256">
        <f t="shared" si="286"/>
        <v>820.6</v>
      </c>
      <c r="R1429" s="256">
        <f t="shared" si="287"/>
        <v>4550.6000000000004</v>
      </c>
      <c r="S1429" s="296"/>
      <c r="T1429" s="3">
        <v>68</v>
      </c>
      <c r="U1429" s="293"/>
    </row>
    <row r="1430" spans="1:21" ht="25" customHeight="1" x14ac:dyDescent="0.35">
      <c r="A1430" s="218" t="s">
        <v>3726</v>
      </c>
      <c r="B1430" s="3">
        <v>1359</v>
      </c>
      <c r="C1430" s="44">
        <v>10005509</v>
      </c>
      <c r="D1430" s="18" t="s">
        <v>210</v>
      </c>
      <c r="E1430" s="18" t="s">
        <v>2232</v>
      </c>
      <c r="F1430" s="12">
        <v>8</v>
      </c>
      <c r="G1430" s="3" t="s">
        <v>0</v>
      </c>
      <c r="H1430" s="5">
        <v>39763</v>
      </c>
      <c r="I1430" s="5" t="s">
        <v>985</v>
      </c>
      <c r="J1430" s="4" t="s">
        <v>1962</v>
      </c>
      <c r="K1430" s="6" t="s">
        <v>210</v>
      </c>
      <c r="L1430" s="6" t="s">
        <v>871</v>
      </c>
      <c r="M1430" s="81">
        <f t="shared" si="275"/>
        <v>3422.07</v>
      </c>
      <c r="N1430" s="81">
        <f t="shared" si="285"/>
        <v>427.76</v>
      </c>
      <c r="O1430" s="81">
        <v>3422.07</v>
      </c>
      <c r="P1430" s="72">
        <v>3850</v>
      </c>
      <c r="Q1430" s="256">
        <f t="shared" si="286"/>
        <v>847</v>
      </c>
      <c r="R1430" s="256">
        <f t="shared" si="287"/>
        <v>4697</v>
      </c>
      <c r="S1430" s="296"/>
      <c r="T1430" s="3">
        <v>68</v>
      </c>
      <c r="U1430" s="293"/>
    </row>
    <row r="1431" spans="1:21" ht="24.65" customHeight="1" x14ac:dyDescent="0.35">
      <c r="A1431" s="218" t="s">
        <v>3727</v>
      </c>
      <c r="B1431" s="3">
        <v>1360</v>
      </c>
      <c r="C1431" s="44">
        <v>10005498</v>
      </c>
      <c r="D1431" s="18" t="s">
        <v>217</v>
      </c>
      <c r="E1431" s="18" t="s">
        <v>2232</v>
      </c>
      <c r="F1431" s="12">
        <f>10-4</f>
        <v>6</v>
      </c>
      <c r="G1431" s="3" t="s">
        <v>0</v>
      </c>
      <c r="H1431" s="5">
        <v>39763</v>
      </c>
      <c r="I1431" s="5" t="s">
        <v>985</v>
      </c>
      <c r="J1431" s="4" t="s">
        <v>1962</v>
      </c>
      <c r="K1431" s="6" t="s">
        <v>217</v>
      </c>
      <c r="L1431" s="6" t="s">
        <v>871</v>
      </c>
      <c r="M1431" s="84">
        <f t="shared" si="275"/>
        <v>3397.74</v>
      </c>
      <c r="N1431" s="84">
        <f t="shared" si="285"/>
        <v>566.29</v>
      </c>
      <c r="O1431" s="81">
        <f>5662.9/10*6</f>
        <v>3397.74</v>
      </c>
      <c r="P1431" s="72">
        <v>3820</v>
      </c>
      <c r="Q1431" s="256">
        <f t="shared" si="286"/>
        <v>840.4</v>
      </c>
      <c r="R1431" s="256">
        <f t="shared" si="287"/>
        <v>4660.3999999999996</v>
      </c>
      <c r="S1431" s="296"/>
      <c r="T1431" s="3">
        <v>68</v>
      </c>
      <c r="U1431" s="293"/>
    </row>
    <row r="1432" spans="1:21" ht="15" customHeight="1" x14ac:dyDescent="0.35">
      <c r="A1432" s="218" t="s">
        <v>3728</v>
      </c>
      <c r="B1432" s="3">
        <v>1361</v>
      </c>
      <c r="C1432" s="44">
        <v>102005589</v>
      </c>
      <c r="D1432" s="18" t="s">
        <v>379</v>
      </c>
      <c r="E1432" s="18" t="s">
        <v>2197</v>
      </c>
      <c r="F1432" s="12">
        <v>4</v>
      </c>
      <c r="G1432" s="3" t="s">
        <v>0</v>
      </c>
      <c r="H1432" s="49" t="s">
        <v>2195</v>
      </c>
      <c r="I1432" s="49" t="s">
        <v>999</v>
      </c>
      <c r="J1432" s="4" t="s">
        <v>1962</v>
      </c>
      <c r="K1432" s="5" t="s">
        <v>988</v>
      </c>
      <c r="L1432" s="5" t="s">
        <v>871</v>
      </c>
      <c r="M1432" s="72">
        <f t="shared" si="275"/>
        <v>92461.96</v>
      </c>
      <c r="N1432" s="72">
        <f t="shared" si="285"/>
        <v>23115.49</v>
      </c>
      <c r="O1432" s="72">
        <v>92461.96</v>
      </c>
      <c r="P1432" s="72">
        <v>97310</v>
      </c>
      <c r="Q1432" s="256">
        <f t="shared" si="286"/>
        <v>21408.2</v>
      </c>
      <c r="R1432" s="256">
        <f t="shared" si="287"/>
        <v>118718.2</v>
      </c>
      <c r="S1432" s="296"/>
      <c r="T1432" s="3">
        <v>68</v>
      </c>
      <c r="U1432" s="293"/>
    </row>
    <row r="1433" spans="1:21" ht="15" customHeight="1" x14ac:dyDescent="0.35">
      <c r="A1433" s="218" t="s">
        <v>3729</v>
      </c>
      <c r="B1433" s="3">
        <v>1362</v>
      </c>
      <c r="C1433" s="44">
        <v>10017181</v>
      </c>
      <c r="D1433" s="18" t="s">
        <v>238</v>
      </c>
      <c r="E1433" s="18" t="s">
        <v>2206</v>
      </c>
      <c r="F1433" s="12">
        <v>2</v>
      </c>
      <c r="G1433" s="3" t="s">
        <v>0</v>
      </c>
      <c r="H1433" s="5">
        <v>42036</v>
      </c>
      <c r="I1433" s="5" t="s">
        <v>2144</v>
      </c>
      <c r="J1433" s="4" t="s">
        <v>1962</v>
      </c>
      <c r="K1433" s="5" t="s">
        <v>988</v>
      </c>
      <c r="L1433" s="6" t="s">
        <v>871</v>
      </c>
      <c r="M1433" s="81">
        <f t="shared" ref="M1433:M1479" si="288">O1433</f>
        <v>1180.9000000000001</v>
      </c>
      <c r="N1433" s="81">
        <f t="shared" ref="N1433:N1450" si="289">O1433/F1433</f>
        <v>590.45000000000005</v>
      </c>
      <c r="O1433" s="81">
        <v>1180.9000000000001</v>
      </c>
      <c r="P1433" s="72">
        <v>950</v>
      </c>
      <c r="Q1433" s="256">
        <f t="shared" si="286"/>
        <v>209</v>
      </c>
      <c r="R1433" s="256">
        <f t="shared" si="287"/>
        <v>1159</v>
      </c>
      <c r="S1433" s="296"/>
      <c r="T1433" s="3">
        <v>68</v>
      </c>
      <c r="U1433" s="293"/>
    </row>
    <row r="1434" spans="1:21" ht="15" customHeight="1" x14ac:dyDescent="0.35">
      <c r="A1434" s="218" t="s">
        <v>3730</v>
      </c>
      <c r="B1434" s="3">
        <v>1363</v>
      </c>
      <c r="C1434" s="45">
        <v>10017092</v>
      </c>
      <c r="D1434" s="2" t="s">
        <v>665</v>
      </c>
      <c r="E1434" s="18" t="s">
        <v>2236</v>
      </c>
      <c r="F1434" s="12">
        <v>1</v>
      </c>
      <c r="G1434" s="3" t="s">
        <v>0</v>
      </c>
      <c r="H1434" s="5">
        <v>42004</v>
      </c>
      <c r="I1434" s="30" t="s">
        <v>1003</v>
      </c>
      <c r="J1434" s="4" t="s">
        <v>1962</v>
      </c>
      <c r="K1434" s="14" t="s">
        <v>796</v>
      </c>
      <c r="L1434" s="3" t="s">
        <v>871</v>
      </c>
      <c r="M1434" s="72">
        <f t="shared" si="288"/>
        <v>12375.36</v>
      </c>
      <c r="N1434" s="72">
        <f t="shared" si="289"/>
        <v>12375.36</v>
      </c>
      <c r="O1434" s="72">
        <v>12375.36</v>
      </c>
      <c r="P1434" s="72">
        <v>10030</v>
      </c>
      <c r="Q1434" s="256">
        <f t="shared" si="286"/>
        <v>2206.6</v>
      </c>
      <c r="R1434" s="256">
        <f t="shared" si="287"/>
        <v>12236.6</v>
      </c>
      <c r="S1434" s="296"/>
      <c r="T1434" s="3">
        <v>68</v>
      </c>
      <c r="U1434" s="293"/>
    </row>
    <row r="1435" spans="1:21" ht="15" customHeight="1" x14ac:dyDescent="0.35">
      <c r="A1435" s="218" t="s">
        <v>3731</v>
      </c>
      <c r="B1435" s="3">
        <v>1364</v>
      </c>
      <c r="C1435" s="44">
        <v>10017092</v>
      </c>
      <c r="D1435" s="18" t="s">
        <v>665</v>
      </c>
      <c r="E1435" s="18" t="s">
        <v>2206</v>
      </c>
      <c r="F1435" s="12">
        <v>2</v>
      </c>
      <c r="G1435" s="3" t="s">
        <v>0</v>
      </c>
      <c r="H1435" s="52">
        <v>42036</v>
      </c>
      <c r="I1435" s="3" t="s">
        <v>2144</v>
      </c>
      <c r="J1435" s="4" t="s">
        <v>1962</v>
      </c>
      <c r="K1435" s="14" t="s">
        <v>796</v>
      </c>
      <c r="L1435" s="3" t="s">
        <v>871</v>
      </c>
      <c r="M1435" s="72">
        <f t="shared" si="288"/>
        <v>26748.62</v>
      </c>
      <c r="N1435" s="72">
        <f t="shared" si="289"/>
        <v>13374.31</v>
      </c>
      <c r="O1435" s="72">
        <v>26748.62</v>
      </c>
      <c r="P1435" s="72">
        <v>21670</v>
      </c>
      <c r="Q1435" s="256">
        <f t="shared" si="286"/>
        <v>4767.3999999999996</v>
      </c>
      <c r="R1435" s="256">
        <f t="shared" si="287"/>
        <v>26437.4</v>
      </c>
      <c r="S1435" s="296"/>
      <c r="T1435" s="3">
        <v>68</v>
      </c>
      <c r="U1435" s="293"/>
    </row>
    <row r="1436" spans="1:21" ht="15" customHeight="1" x14ac:dyDescent="0.35">
      <c r="A1436" s="218" t="s">
        <v>3732</v>
      </c>
      <c r="B1436" s="3">
        <v>1365</v>
      </c>
      <c r="C1436" s="44">
        <v>10005508</v>
      </c>
      <c r="D1436" s="18" t="s">
        <v>144</v>
      </c>
      <c r="E1436" s="18" t="s">
        <v>2212</v>
      </c>
      <c r="F1436" s="12">
        <v>1</v>
      </c>
      <c r="G1436" s="3" t="s">
        <v>0</v>
      </c>
      <c r="H1436" s="5">
        <v>42004</v>
      </c>
      <c r="I1436" s="5" t="s">
        <v>2209</v>
      </c>
      <c r="J1436" s="4" t="s">
        <v>1962</v>
      </c>
      <c r="K1436" s="49" t="s">
        <v>988</v>
      </c>
      <c r="L1436" s="6" t="s">
        <v>871</v>
      </c>
      <c r="M1436" s="81">
        <f t="shared" si="288"/>
        <v>292.95</v>
      </c>
      <c r="N1436" s="81">
        <f t="shared" si="289"/>
        <v>292.95</v>
      </c>
      <c r="O1436" s="81">
        <v>292.95</v>
      </c>
      <c r="P1436" s="72">
        <v>240</v>
      </c>
      <c r="Q1436" s="256">
        <f t="shared" si="286"/>
        <v>52.8</v>
      </c>
      <c r="R1436" s="256">
        <f t="shared" si="287"/>
        <v>292.8</v>
      </c>
      <c r="S1436" s="296"/>
      <c r="T1436" s="3">
        <v>68</v>
      </c>
      <c r="U1436" s="293"/>
    </row>
    <row r="1437" spans="1:21" ht="15" customHeight="1" x14ac:dyDescent="0.35">
      <c r="A1437" s="218" t="s">
        <v>3733</v>
      </c>
      <c r="B1437" s="3">
        <v>1366</v>
      </c>
      <c r="C1437" s="44">
        <v>10005567</v>
      </c>
      <c r="D1437" s="18" t="s">
        <v>1309</v>
      </c>
      <c r="E1437" s="18" t="s">
        <v>2212</v>
      </c>
      <c r="F1437" s="12">
        <f>2-1</f>
        <v>1</v>
      </c>
      <c r="G1437" s="3" t="s">
        <v>0</v>
      </c>
      <c r="H1437" s="5">
        <v>42004</v>
      </c>
      <c r="I1437" s="5" t="s">
        <v>2209</v>
      </c>
      <c r="J1437" s="4" t="s">
        <v>1962</v>
      </c>
      <c r="K1437" s="49" t="s">
        <v>988</v>
      </c>
      <c r="L1437" s="6" t="s">
        <v>871</v>
      </c>
      <c r="M1437" s="81">
        <f t="shared" si="288"/>
        <v>3480.97</v>
      </c>
      <c r="N1437" s="81">
        <f t="shared" si="289"/>
        <v>3480.97</v>
      </c>
      <c r="O1437" s="81">
        <f>3480.97</f>
        <v>3480.97</v>
      </c>
      <c r="P1437" s="72">
        <v>2820</v>
      </c>
      <c r="Q1437" s="256">
        <f t="shared" si="286"/>
        <v>620.4</v>
      </c>
      <c r="R1437" s="256">
        <f t="shared" si="287"/>
        <v>3440.4</v>
      </c>
      <c r="S1437" s="296"/>
      <c r="T1437" s="3">
        <v>68</v>
      </c>
      <c r="U1437" s="293"/>
    </row>
    <row r="1438" spans="1:21" ht="15" customHeight="1" x14ac:dyDescent="0.35">
      <c r="A1438" s="218" t="s">
        <v>3734</v>
      </c>
      <c r="B1438" s="3">
        <v>1367</v>
      </c>
      <c r="C1438" s="44">
        <v>10090828</v>
      </c>
      <c r="D1438" s="18" t="s">
        <v>1310</v>
      </c>
      <c r="E1438" s="18" t="s">
        <v>2212</v>
      </c>
      <c r="F1438" s="12">
        <v>2</v>
      </c>
      <c r="G1438" s="3" t="s">
        <v>0</v>
      </c>
      <c r="H1438" s="5">
        <v>42004</v>
      </c>
      <c r="I1438" s="5" t="s">
        <v>2209</v>
      </c>
      <c r="J1438" s="4" t="s">
        <v>1962</v>
      </c>
      <c r="K1438" s="49" t="s">
        <v>988</v>
      </c>
      <c r="L1438" s="6" t="s">
        <v>871</v>
      </c>
      <c r="M1438" s="81">
        <f t="shared" si="288"/>
        <v>2093.2199999999998</v>
      </c>
      <c r="N1438" s="81">
        <f t="shared" si="289"/>
        <v>1046.6099999999999</v>
      </c>
      <c r="O1438" s="81">
        <v>2093.2199999999998</v>
      </c>
      <c r="P1438" s="72">
        <v>1700</v>
      </c>
      <c r="Q1438" s="256">
        <f t="shared" si="286"/>
        <v>374</v>
      </c>
      <c r="R1438" s="256">
        <f t="shared" si="287"/>
        <v>2074</v>
      </c>
      <c r="S1438" s="296"/>
      <c r="T1438" s="3">
        <v>68</v>
      </c>
      <c r="U1438" s="293"/>
    </row>
    <row r="1439" spans="1:21" ht="15" customHeight="1" x14ac:dyDescent="0.35">
      <c r="A1439" s="218" t="s">
        <v>3735</v>
      </c>
      <c r="B1439" s="3">
        <v>1368</v>
      </c>
      <c r="C1439" s="44">
        <v>10090871</v>
      </c>
      <c r="D1439" s="18" t="s">
        <v>1311</v>
      </c>
      <c r="E1439" s="18" t="s">
        <v>2212</v>
      </c>
      <c r="F1439" s="12">
        <v>2</v>
      </c>
      <c r="G1439" s="3" t="s">
        <v>0</v>
      </c>
      <c r="H1439" s="5">
        <v>42004</v>
      </c>
      <c r="I1439" s="5" t="s">
        <v>2209</v>
      </c>
      <c r="J1439" s="4" t="s">
        <v>1962</v>
      </c>
      <c r="K1439" s="49" t="s">
        <v>988</v>
      </c>
      <c r="L1439" s="6" t="s">
        <v>871</v>
      </c>
      <c r="M1439" s="81">
        <f t="shared" si="288"/>
        <v>126.1</v>
      </c>
      <c r="N1439" s="81">
        <f t="shared" si="289"/>
        <v>63.05</v>
      </c>
      <c r="O1439" s="81">
        <v>126.1</v>
      </c>
      <c r="P1439" s="72">
        <v>100</v>
      </c>
      <c r="Q1439" s="256">
        <f t="shared" si="286"/>
        <v>22</v>
      </c>
      <c r="R1439" s="256">
        <f t="shared" si="287"/>
        <v>122</v>
      </c>
      <c r="S1439" s="296"/>
      <c r="T1439" s="3">
        <v>68</v>
      </c>
      <c r="U1439" s="293"/>
    </row>
    <row r="1440" spans="1:21" ht="15" customHeight="1" x14ac:dyDescent="0.35">
      <c r="A1440" s="218" t="s">
        <v>3736</v>
      </c>
      <c r="B1440" s="3">
        <v>1369</v>
      </c>
      <c r="C1440" s="44">
        <v>10090866</v>
      </c>
      <c r="D1440" s="18" t="s">
        <v>1312</v>
      </c>
      <c r="E1440" s="18" t="s">
        <v>2212</v>
      </c>
      <c r="F1440" s="12">
        <v>3</v>
      </c>
      <c r="G1440" s="3" t="s">
        <v>0</v>
      </c>
      <c r="H1440" s="5">
        <v>42004</v>
      </c>
      <c r="I1440" s="5" t="s">
        <v>2209</v>
      </c>
      <c r="J1440" s="4" t="s">
        <v>1962</v>
      </c>
      <c r="K1440" s="49" t="s">
        <v>988</v>
      </c>
      <c r="L1440" s="6" t="s">
        <v>871</v>
      </c>
      <c r="M1440" s="81">
        <f t="shared" si="288"/>
        <v>859.32</v>
      </c>
      <c r="N1440" s="81">
        <f t="shared" si="289"/>
        <v>286.44</v>
      </c>
      <c r="O1440" s="81">
        <v>859.32</v>
      </c>
      <c r="P1440" s="72">
        <v>700</v>
      </c>
      <c r="Q1440" s="256">
        <f t="shared" si="286"/>
        <v>154</v>
      </c>
      <c r="R1440" s="256">
        <f t="shared" si="287"/>
        <v>854</v>
      </c>
      <c r="S1440" s="296"/>
      <c r="T1440" s="3">
        <v>68</v>
      </c>
      <c r="U1440" s="293"/>
    </row>
    <row r="1441" spans="1:21" ht="15" customHeight="1" x14ac:dyDescent="0.35">
      <c r="A1441" s="218" t="s">
        <v>3737</v>
      </c>
      <c r="B1441" s="3">
        <v>1370</v>
      </c>
      <c r="C1441" s="44">
        <v>10005556</v>
      </c>
      <c r="D1441" s="18" t="s">
        <v>149</v>
      </c>
      <c r="E1441" s="18" t="s">
        <v>2212</v>
      </c>
      <c r="F1441" s="12">
        <v>4</v>
      </c>
      <c r="G1441" s="3" t="s">
        <v>0</v>
      </c>
      <c r="H1441" s="5">
        <v>42004</v>
      </c>
      <c r="I1441" s="5" t="s">
        <v>2209</v>
      </c>
      <c r="J1441" s="4" t="s">
        <v>1962</v>
      </c>
      <c r="K1441" s="49" t="s">
        <v>988</v>
      </c>
      <c r="L1441" s="6" t="s">
        <v>871</v>
      </c>
      <c r="M1441" s="81">
        <f t="shared" si="288"/>
        <v>2082.08</v>
      </c>
      <c r="N1441" s="81">
        <f t="shared" si="289"/>
        <v>520.52</v>
      </c>
      <c r="O1441" s="81">
        <v>2082.08</v>
      </c>
      <c r="P1441" s="72">
        <v>1690</v>
      </c>
      <c r="Q1441" s="256">
        <f t="shared" si="286"/>
        <v>371.8</v>
      </c>
      <c r="R1441" s="256">
        <f t="shared" si="287"/>
        <v>2061.8000000000002</v>
      </c>
      <c r="S1441" s="296"/>
      <c r="T1441" s="3">
        <v>68</v>
      </c>
      <c r="U1441" s="293"/>
    </row>
    <row r="1442" spans="1:21" ht="15" customHeight="1" x14ac:dyDescent="0.35">
      <c r="A1442" s="218" t="s">
        <v>3738</v>
      </c>
      <c r="B1442" s="3">
        <v>1371</v>
      </c>
      <c r="C1442" s="44">
        <v>10017405</v>
      </c>
      <c r="D1442" s="18" t="s">
        <v>1313</v>
      </c>
      <c r="E1442" s="18" t="s">
        <v>2212</v>
      </c>
      <c r="F1442" s="12">
        <f>4-1</f>
        <v>3</v>
      </c>
      <c r="G1442" s="3" t="s">
        <v>0</v>
      </c>
      <c r="H1442" s="5">
        <v>42004</v>
      </c>
      <c r="I1442" s="5" t="s">
        <v>2209</v>
      </c>
      <c r="J1442" s="4" t="s">
        <v>1962</v>
      </c>
      <c r="K1442" s="49" t="s">
        <v>988</v>
      </c>
      <c r="L1442" s="6" t="s">
        <v>871</v>
      </c>
      <c r="M1442" s="81">
        <f t="shared" si="288"/>
        <v>18025.41</v>
      </c>
      <c r="N1442" s="81">
        <f t="shared" si="289"/>
        <v>6008.47</v>
      </c>
      <c r="O1442" s="81">
        <f>24033.88/4*3</f>
        <v>18025.41</v>
      </c>
      <c r="P1442" s="72">
        <v>14610</v>
      </c>
      <c r="Q1442" s="256">
        <f t="shared" si="286"/>
        <v>3214.2</v>
      </c>
      <c r="R1442" s="256">
        <f t="shared" si="287"/>
        <v>17824.2</v>
      </c>
      <c r="S1442" s="296"/>
      <c r="T1442" s="3">
        <v>68</v>
      </c>
      <c r="U1442" s="293"/>
    </row>
    <row r="1443" spans="1:21" ht="15" customHeight="1" x14ac:dyDescent="0.35">
      <c r="A1443" s="218" t="s">
        <v>3739</v>
      </c>
      <c r="B1443" s="3">
        <v>1372</v>
      </c>
      <c r="C1443" s="44">
        <v>10019969</v>
      </c>
      <c r="D1443" s="18" t="s">
        <v>1314</v>
      </c>
      <c r="E1443" s="18" t="s">
        <v>2212</v>
      </c>
      <c r="F1443" s="12">
        <v>4</v>
      </c>
      <c r="G1443" s="3" t="s">
        <v>0</v>
      </c>
      <c r="H1443" s="5">
        <v>42004</v>
      </c>
      <c r="I1443" s="5" t="s">
        <v>2209</v>
      </c>
      <c r="J1443" s="4" t="s">
        <v>1962</v>
      </c>
      <c r="K1443" s="49" t="s">
        <v>988</v>
      </c>
      <c r="L1443" s="6" t="s">
        <v>871</v>
      </c>
      <c r="M1443" s="81">
        <f t="shared" si="288"/>
        <v>4789.92</v>
      </c>
      <c r="N1443" s="81">
        <f t="shared" si="289"/>
        <v>1197.48</v>
      </c>
      <c r="O1443" s="81">
        <v>4789.92</v>
      </c>
      <c r="P1443" s="72">
        <v>3880</v>
      </c>
      <c r="Q1443" s="256">
        <f t="shared" si="286"/>
        <v>853.6</v>
      </c>
      <c r="R1443" s="256">
        <f t="shared" si="287"/>
        <v>4733.6000000000004</v>
      </c>
      <c r="S1443" s="296"/>
      <c r="T1443" s="3">
        <v>68</v>
      </c>
      <c r="U1443" s="293"/>
    </row>
    <row r="1444" spans="1:21" ht="15" customHeight="1" x14ac:dyDescent="0.35">
      <c r="A1444" s="218" t="s">
        <v>3740</v>
      </c>
      <c r="B1444" s="3">
        <v>1373</v>
      </c>
      <c r="C1444" s="44">
        <v>10025502</v>
      </c>
      <c r="D1444" s="18" t="s">
        <v>1315</v>
      </c>
      <c r="E1444" s="18" t="s">
        <v>2212</v>
      </c>
      <c r="F1444" s="12">
        <v>4</v>
      </c>
      <c r="G1444" s="3" t="s">
        <v>0</v>
      </c>
      <c r="H1444" s="5">
        <v>42004</v>
      </c>
      <c r="I1444" s="5" t="s">
        <v>2209</v>
      </c>
      <c r="J1444" s="4" t="s">
        <v>1962</v>
      </c>
      <c r="K1444" s="49" t="s">
        <v>988</v>
      </c>
      <c r="L1444" s="6" t="s">
        <v>871</v>
      </c>
      <c r="M1444" s="81">
        <f t="shared" si="288"/>
        <v>10920.88</v>
      </c>
      <c r="N1444" s="81">
        <f t="shared" si="289"/>
        <v>2730.22</v>
      </c>
      <c r="O1444" s="81">
        <v>10920.88</v>
      </c>
      <c r="P1444" s="72">
        <v>8850</v>
      </c>
      <c r="Q1444" s="256">
        <f t="shared" si="286"/>
        <v>1947</v>
      </c>
      <c r="R1444" s="256">
        <f t="shared" si="287"/>
        <v>10797</v>
      </c>
      <c r="S1444" s="296"/>
      <c r="T1444" s="3">
        <v>68</v>
      </c>
      <c r="U1444" s="293"/>
    </row>
    <row r="1445" spans="1:21" ht="15" customHeight="1" x14ac:dyDescent="0.35">
      <c r="A1445" s="218" t="s">
        <v>3741</v>
      </c>
      <c r="B1445" s="3">
        <v>1374</v>
      </c>
      <c r="C1445" s="44">
        <v>10090863</v>
      </c>
      <c r="D1445" s="18" t="s">
        <v>1316</v>
      </c>
      <c r="E1445" s="18" t="s">
        <v>2212</v>
      </c>
      <c r="F1445" s="12">
        <v>4</v>
      </c>
      <c r="G1445" s="3" t="s">
        <v>0</v>
      </c>
      <c r="H1445" s="5">
        <v>42004</v>
      </c>
      <c r="I1445" s="5" t="s">
        <v>2209</v>
      </c>
      <c r="J1445" s="4" t="s">
        <v>1962</v>
      </c>
      <c r="K1445" s="49" t="s">
        <v>988</v>
      </c>
      <c r="L1445" s="6" t="s">
        <v>871</v>
      </c>
      <c r="M1445" s="81">
        <f t="shared" si="288"/>
        <v>142.28</v>
      </c>
      <c r="N1445" s="81">
        <f t="shared" si="289"/>
        <v>35.57</v>
      </c>
      <c r="O1445" s="81">
        <v>142.28</v>
      </c>
      <c r="P1445" s="72">
        <v>120</v>
      </c>
      <c r="Q1445" s="256">
        <f t="shared" si="286"/>
        <v>26.4</v>
      </c>
      <c r="R1445" s="256">
        <f t="shared" si="287"/>
        <v>146.4</v>
      </c>
      <c r="S1445" s="296"/>
      <c r="T1445" s="3">
        <v>68</v>
      </c>
      <c r="U1445" s="293"/>
    </row>
    <row r="1446" spans="1:21" ht="15" customHeight="1" x14ac:dyDescent="0.35">
      <c r="A1446" s="218" t="s">
        <v>3742</v>
      </c>
      <c r="B1446" s="3">
        <v>1375</v>
      </c>
      <c r="C1446" s="44">
        <v>10090867</v>
      </c>
      <c r="D1446" s="18" t="s">
        <v>1317</v>
      </c>
      <c r="E1446" s="18" t="s">
        <v>2212</v>
      </c>
      <c r="F1446" s="12">
        <v>5</v>
      </c>
      <c r="G1446" s="3" t="s">
        <v>0</v>
      </c>
      <c r="H1446" s="5">
        <v>42004</v>
      </c>
      <c r="I1446" s="5" t="s">
        <v>2209</v>
      </c>
      <c r="J1446" s="4" t="s">
        <v>1962</v>
      </c>
      <c r="K1446" s="49" t="s">
        <v>988</v>
      </c>
      <c r="L1446" s="6" t="s">
        <v>871</v>
      </c>
      <c r="M1446" s="81">
        <f t="shared" si="288"/>
        <v>2030.5</v>
      </c>
      <c r="N1446" s="81">
        <f t="shared" si="289"/>
        <v>406.1</v>
      </c>
      <c r="O1446" s="81">
        <v>2030.5</v>
      </c>
      <c r="P1446" s="72">
        <v>1650</v>
      </c>
      <c r="Q1446" s="256">
        <f t="shared" si="286"/>
        <v>363</v>
      </c>
      <c r="R1446" s="256">
        <f t="shared" si="287"/>
        <v>2013</v>
      </c>
      <c r="S1446" s="296"/>
      <c r="T1446" s="3">
        <v>68</v>
      </c>
      <c r="U1446" s="293"/>
    </row>
    <row r="1447" spans="1:21" ht="15" customHeight="1" x14ac:dyDescent="0.35">
      <c r="A1447" s="218" t="s">
        <v>3743</v>
      </c>
      <c r="B1447" s="3">
        <v>1376</v>
      </c>
      <c r="C1447" s="44">
        <v>10008275</v>
      </c>
      <c r="D1447" s="18" t="s">
        <v>1318</v>
      </c>
      <c r="E1447" s="18" t="s">
        <v>2212</v>
      </c>
      <c r="F1447" s="12">
        <v>10</v>
      </c>
      <c r="G1447" s="3" t="s">
        <v>0</v>
      </c>
      <c r="H1447" s="5">
        <v>42004</v>
      </c>
      <c r="I1447" s="5" t="s">
        <v>2209</v>
      </c>
      <c r="J1447" s="4" t="s">
        <v>1962</v>
      </c>
      <c r="K1447" s="49" t="s">
        <v>988</v>
      </c>
      <c r="L1447" s="6" t="s">
        <v>871</v>
      </c>
      <c r="M1447" s="81">
        <f t="shared" si="288"/>
        <v>1444.4</v>
      </c>
      <c r="N1447" s="81">
        <f t="shared" si="289"/>
        <v>144.44</v>
      </c>
      <c r="O1447" s="81">
        <v>1444.4</v>
      </c>
      <c r="P1447" s="72">
        <v>1170</v>
      </c>
      <c r="Q1447" s="256">
        <f t="shared" si="286"/>
        <v>257.39999999999998</v>
      </c>
      <c r="R1447" s="256">
        <f t="shared" si="287"/>
        <v>1427.4</v>
      </c>
      <c r="S1447" s="296"/>
      <c r="T1447" s="3">
        <v>68</v>
      </c>
      <c r="U1447" s="293"/>
    </row>
    <row r="1448" spans="1:21" ht="15" customHeight="1" x14ac:dyDescent="0.35">
      <c r="A1448" s="218" t="s">
        <v>3744</v>
      </c>
      <c r="B1448" s="3">
        <v>1377</v>
      </c>
      <c r="C1448" s="18">
        <v>10102860</v>
      </c>
      <c r="D1448" s="18" t="s">
        <v>2178</v>
      </c>
      <c r="E1448" s="18" t="s">
        <v>2197</v>
      </c>
      <c r="F1448" s="12">
        <v>13</v>
      </c>
      <c r="G1448" s="3" t="s">
        <v>0</v>
      </c>
      <c r="H1448" s="3">
        <v>2006</v>
      </c>
      <c r="I1448" s="13" t="s">
        <v>999</v>
      </c>
      <c r="J1448" s="4" t="s">
        <v>1962</v>
      </c>
      <c r="K1448" s="4" t="s">
        <v>988</v>
      </c>
      <c r="L1448" s="5" t="s">
        <v>871</v>
      </c>
      <c r="M1448" s="72">
        <f t="shared" si="288"/>
        <v>311406.28999999998</v>
      </c>
      <c r="N1448" s="72">
        <f t="shared" si="289"/>
        <v>23954.33</v>
      </c>
      <c r="O1448" s="72">
        <v>311406.28999999998</v>
      </c>
      <c r="P1448" s="72">
        <v>521800</v>
      </c>
      <c r="Q1448" s="256">
        <f t="shared" si="286"/>
        <v>114796</v>
      </c>
      <c r="R1448" s="256">
        <f t="shared" si="287"/>
        <v>636596</v>
      </c>
      <c r="S1448" s="296"/>
      <c r="T1448" s="3">
        <v>68</v>
      </c>
      <c r="U1448" s="293"/>
    </row>
    <row r="1449" spans="1:21" ht="18" customHeight="1" x14ac:dyDescent="0.35">
      <c r="A1449" s="218" t="s">
        <v>3745</v>
      </c>
      <c r="B1449" s="3">
        <v>1378</v>
      </c>
      <c r="C1449" s="18">
        <v>102005631</v>
      </c>
      <c r="D1449" s="18" t="s">
        <v>2179</v>
      </c>
      <c r="E1449" s="18" t="s">
        <v>2197</v>
      </c>
      <c r="F1449" s="12">
        <v>2</v>
      </c>
      <c r="G1449" s="3" t="s">
        <v>0</v>
      </c>
      <c r="H1449" s="3">
        <v>2006</v>
      </c>
      <c r="I1449" s="13" t="s">
        <v>999</v>
      </c>
      <c r="J1449" s="4" t="s">
        <v>1962</v>
      </c>
      <c r="K1449" s="4" t="s">
        <v>988</v>
      </c>
      <c r="L1449" s="5" t="s">
        <v>871</v>
      </c>
      <c r="M1449" s="72">
        <f t="shared" si="288"/>
        <v>45880.68</v>
      </c>
      <c r="N1449" s="72">
        <f t="shared" si="289"/>
        <v>22940.34</v>
      </c>
      <c r="O1449" s="72">
        <v>45880.68</v>
      </c>
      <c r="P1449" s="72">
        <v>73800</v>
      </c>
      <c r="Q1449" s="256">
        <f t="shared" si="286"/>
        <v>16236</v>
      </c>
      <c r="R1449" s="256">
        <f t="shared" si="287"/>
        <v>90036</v>
      </c>
      <c r="S1449" s="296"/>
      <c r="T1449" s="3">
        <v>68</v>
      </c>
      <c r="U1449" s="293"/>
    </row>
    <row r="1450" spans="1:21" ht="15" customHeight="1" x14ac:dyDescent="0.35">
      <c r="A1450" s="218" t="s">
        <v>3746</v>
      </c>
      <c r="B1450" s="3">
        <v>1379</v>
      </c>
      <c r="C1450" s="18">
        <v>102029198</v>
      </c>
      <c r="D1450" s="18" t="s">
        <v>2180</v>
      </c>
      <c r="E1450" s="18" t="s">
        <v>2197</v>
      </c>
      <c r="F1450" s="12">
        <v>3</v>
      </c>
      <c r="G1450" s="3" t="s">
        <v>0</v>
      </c>
      <c r="H1450" s="3">
        <v>2008</v>
      </c>
      <c r="I1450" s="13" t="s">
        <v>999</v>
      </c>
      <c r="J1450" s="4" t="s">
        <v>1962</v>
      </c>
      <c r="K1450" s="4" t="s">
        <v>988</v>
      </c>
      <c r="L1450" s="5" t="s">
        <v>871</v>
      </c>
      <c r="M1450" s="72">
        <f t="shared" si="288"/>
        <v>97240.29</v>
      </c>
      <c r="N1450" s="72">
        <f t="shared" si="289"/>
        <v>32413.43</v>
      </c>
      <c r="O1450" s="72">
        <v>97240.29</v>
      </c>
      <c r="P1450" s="72">
        <v>109880</v>
      </c>
      <c r="Q1450" s="256">
        <f t="shared" si="286"/>
        <v>24173.599999999999</v>
      </c>
      <c r="R1450" s="256">
        <f t="shared" si="287"/>
        <v>134053.6</v>
      </c>
      <c r="S1450" s="297"/>
      <c r="T1450" s="3">
        <v>68</v>
      </c>
      <c r="U1450" s="293"/>
    </row>
    <row r="1451" spans="1:21" ht="15" customHeight="1" x14ac:dyDescent="0.35">
      <c r="A1451" s="218"/>
      <c r="B1451" s="94"/>
      <c r="C1451" s="18"/>
      <c r="D1451" s="18"/>
      <c r="E1451" s="18"/>
      <c r="F1451" s="12"/>
      <c r="G1451" s="3"/>
      <c r="H1451" s="39"/>
      <c r="I1451" s="13"/>
      <c r="J1451" s="4"/>
      <c r="K1451" s="4"/>
      <c r="L1451" s="5"/>
      <c r="M1451" s="72"/>
      <c r="N1451" s="72"/>
      <c r="O1451" s="82">
        <f>SUM(O1408:O1450)</f>
        <v>700967.75</v>
      </c>
      <c r="P1451" s="276">
        <f t="shared" ref="P1451:Q1451" si="290">SUM(P1408:P1450)</f>
        <v>947630</v>
      </c>
      <c r="Q1451" s="282">
        <f t="shared" si="290"/>
        <v>208478.6</v>
      </c>
      <c r="R1451" s="282">
        <f>SUM(R1408:R1450)</f>
        <v>1156108.6000000001</v>
      </c>
      <c r="S1451" s="286">
        <f>R1451/100*10</f>
        <v>115610.86</v>
      </c>
      <c r="T1451" s="104">
        <v>68</v>
      </c>
      <c r="U1451" s="304"/>
    </row>
    <row r="1452" spans="1:21" ht="36.75" customHeight="1" x14ac:dyDescent="0.35">
      <c r="A1452" s="218" t="s">
        <v>4082</v>
      </c>
      <c r="B1452" s="3">
        <v>1380</v>
      </c>
      <c r="C1452" s="44">
        <v>10102427</v>
      </c>
      <c r="D1452" s="18" t="s">
        <v>1667</v>
      </c>
      <c r="E1452" s="18" t="s">
        <v>2027</v>
      </c>
      <c r="F1452" s="12">
        <v>8</v>
      </c>
      <c r="G1452" s="3" t="s">
        <v>0</v>
      </c>
      <c r="H1452" s="39">
        <v>41487</v>
      </c>
      <c r="I1452" s="27" t="s">
        <v>984</v>
      </c>
      <c r="J1452" s="4" t="s">
        <v>1995</v>
      </c>
      <c r="K1452" s="4" t="s">
        <v>988</v>
      </c>
      <c r="L1452" s="29" t="s">
        <v>977</v>
      </c>
      <c r="M1452" s="78">
        <f t="shared" si="288"/>
        <v>562.72</v>
      </c>
      <c r="N1452" s="78">
        <f>O1452/F1452</f>
        <v>70.34</v>
      </c>
      <c r="O1452" s="78">
        <v>562.72</v>
      </c>
      <c r="P1452" s="72">
        <v>1110</v>
      </c>
      <c r="Q1452" s="256">
        <f>R1452-P1452</f>
        <v>244.2</v>
      </c>
      <c r="R1452" s="256">
        <f>P1452*1.22</f>
        <v>1354.2</v>
      </c>
      <c r="S1452" s="289"/>
      <c r="T1452" s="3">
        <v>69</v>
      </c>
      <c r="U1452" s="292" t="s">
        <v>2340</v>
      </c>
    </row>
    <row r="1453" spans="1:21" ht="15" customHeight="1" x14ac:dyDescent="0.35">
      <c r="A1453" s="218" t="s">
        <v>3747</v>
      </c>
      <c r="B1453" s="3">
        <v>1381</v>
      </c>
      <c r="C1453" s="65">
        <v>10148182</v>
      </c>
      <c r="D1453" s="8" t="s">
        <v>1901</v>
      </c>
      <c r="E1453" s="19" t="s">
        <v>2219</v>
      </c>
      <c r="F1453" s="92">
        <v>27</v>
      </c>
      <c r="G1453" s="3" t="s">
        <v>0</v>
      </c>
      <c r="H1453" s="40">
        <v>41487</v>
      </c>
      <c r="I1453" s="27" t="s">
        <v>984</v>
      </c>
      <c r="J1453" s="4" t="s">
        <v>1962</v>
      </c>
      <c r="K1453" s="4" t="s">
        <v>988</v>
      </c>
      <c r="L1453" s="29" t="s">
        <v>977</v>
      </c>
      <c r="M1453" s="78">
        <f t="shared" si="288"/>
        <v>7900.2</v>
      </c>
      <c r="N1453" s="78">
        <f>O1453/F1453</f>
        <v>292.60000000000002</v>
      </c>
      <c r="O1453" s="78">
        <v>7900.2</v>
      </c>
      <c r="P1453" s="72">
        <v>15630</v>
      </c>
      <c r="Q1453" s="256">
        <f>R1453-P1453</f>
        <v>3438.6</v>
      </c>
      <c r="R1453" s="256">
        <f>P1453*1.22</f>
        <v>19068.599999999999</v>
      </c>
      <c r="S1453" s="297"/>
      <c r="T1453" s="3">
        <v>69</v>
      </c>
      <c r="U1453" s="293"/>
    </row>
    <row r="1454" spans="1:21" ht="15" customHeight="1" x14ac:dyDescent="0.35">
      <c r="A1454" s="218"/>
      <c r="B1454" s="94"/>
      <c r="C1454" s="65"/>
      <c r="D1454" s="8"/>
      <c r="E1454" s="19"/>
      <c r="F1454" s="92"/>
      <c r="G1454" s="3"/>
      <c r="H1454" s="40"/>
      <c r="I1454" s="27"/>
      <c r="J1454" s="4"/>
      <c r="K1454" s="4"/>
      <c r="L1454" s="29"/>
      <c r="M1454" s="78"/>
      <c r="N1454" s="78"/>
      <c r="O1454" s="108">
        <f>SUM(O1452:O1453)</f>
        <v>8462.92</v>
      </c>
      <c r="P1454" s="276">
        <f t="shared" ref="P1454:Q1454" si="291">SUM(P1452:P1453)</f>
        <v>16740</v>
      </c>
      <c r="Q1454" s="282">
        <f t="shared" si="291"/>
        <v>3682.8</v>
      </c>
      <c r="R1454" s="282">
        <f>SUM(R1452:R1453)</f>
        <v>20422.8</v>
      </c>
      <c r="S1454" s="286">
        <f>R1454/100*10</f>
        <v>2042.28</v>
      </c>
      <c r="T1454" s="104">
        <v>69</v>
      </c>
      <c r="U1454" s="304"/>
    </row>
    <row r="1455" spans="1:21" ht="15" customHeight="1" x14ac:dyDescent="0.35">
      <c r="A1455" s="218" t="s">
        <v>3748</v>
      </c>
      <c r="B1455" s="3">
        <v>1382</v>
      </c>
      <c r="C1455" s="45">
        <v>10096519</v>
      </c>
      <c r="D1455" s="2" t="s">
        <v>617</v>
      </c>
      <c r="E1455" s="18" t="s">
        <v>711</v>
      </c>
      <c r="F1455" s="7">
        <v>10</v>
      </c>
      <c r="G1455" s="3" t="s">
        <v>0</v>
      </c>
      <c r="H1455" s="5">
        <v>42004</v>
      </c>
      <c r="I1455" s="30" t="s">
        <v>1003</v>
      </c>
      <c r="J1455" s="4" t="s">
        <v>1962</v>
      </c>
      <c r="K1455" s="14" t="s">
        <v>833</v>
      </c>
      <c r="L1455" s="3" t="s">
        <v>871</v>
      </c>
      <c r="M1455" s="72">
        <f t="shared" si="288"/>
        <v>26051.200000000001</v>
      </c>
      <c r="N1455" s="72">
        <f>O1455/F1455</f>
        <v>2605.12</v>
      </c>
      <c r="O1455" s="72">
        <v>26051.200000000001</v>
      </c>
      <c r="P1455" s="72">
        <v>24840</v>
      </c>
      <c r="Q1455" s="256">
        <f>R1455-P1455</f>
        <v>5464.8</v>
      </c>
      <c r="R1455" s="256">
        <f>P1455*1.22</f>
        <v>30304.799999999999</v>
      </c>
      <c r="S1455" s="289"/>
      <c r="T1455" s="3">
        <v>70</v>
      </c>
      <c r="U1455" s="294" t="s">
        <v>2340</v>
      </c>
    </row>
    <row r="1456" spans="1:21" ht="15" customHeight="1" x14ac:dyDescent="0.35">
      <c r="A1456" s="218" t="s">
        <v>3749</v>
      </c>
      <c r="B1456" s="3">
        <v>1383</v>
      </c>
      <c r="C1456" s="18">
        <v>102019706</v>
      </c>
      <c r="D1456" s="18" t="s">
        <v>2168</v>
      </c>
      <c r="E1456" s="18" t="s">
        <v>2197</v>
      </c>
      <c r="F1456" s="12">
        <v>36</v>
      </c>
      <c r="G1456" s="3" t="s">
        <v>0</v>
      </c>
      <c r="H1456" s="3">
        <v>2007</v>
      </c>
      <c r="I1456" s="13" t="s">
        <v>999</v>
      </c>
      <c r="J1456" s="4" t="s">
        <v>1962</v>
      </c>
      <c r="K1456" s="4" t="s">
        <v>988</v>
      </c>
      <c r="L1456" s="5" t="s">
        <v>871</v>
      </c>
      <c r="M1456" s="72">
        <f t="shared" si="288"/>
        <v>23461.919999999998</v>
      </c>
      <c r="N1456" s="72">
        <f>O1456/F1456</f>
        <v>651.72</v>
      </c>
      <c r="O1456" s="72">
        <v>23461.919999999998</v>
      </c>
      <c r="P1456" s="72">
        <v>33950</v>
      </c>
      <c r="Q1456" s="256">
        <f>R1456-P1456</f>
        <v>7469</v>
      </c>
      <c r="R1456" s="256">
        <f>P1456*1.22</f>
        <v>41419</v>
      </c>
      <c r="S1456" s="297"/>
      <c r="T1456" s="3">
        <v>70</v>
      </c>
      <c r="U1456" s="293"/>
    </row>
    <row r="1457" spans="1:21" ht="15" customHeight="1" x14ac:dyDescent="0.35">
      <c r="A1457" s="218"/>
      <c r="B1457" s="94"/>
      <c r="C1457" s="18"/>
      <c r="D1457" s="18"/>
      <c r="E1457" s="18"/>
      <c r="F1457" s="12"/>
      <c r="G1457" s="3"/>
      <c r="H1457" s="3"/>
      <c r="I1457" s="13"/>
      <c r="J1457" s="4"/>
      <c r="K1457" s="4"/>
      <c r="L1457" s="5"/>
      <c r="M1457" s="72"/>
      <c r="N1457" s="72"/>
      <c r="O1457" s="203">
        <f>SUM(O1455:O1456)</f>
        <v>49513.120000000003</v>
      </c>
      <c r="P1457" s="276">
        <f t="shared" ref="P1457:Q1457" si="292">SUM(P1455:P1456)</f>
        <v>58790</v>
      </c>
      <c r="Q1457" s="282">
        <f t="shared" si="292"/>
        <v>12933.8</v>
      </c>
      <c r="R1457" s="282">
        <f>SUM(R1455:R1456)</f>
        <v>71723.8</v>
      </c>
      <c r="S1457" s="286">
        <f>R1457/100*10</f>
        <v>7172.38</v>
      </c>
      <c r="T1457" s="104">
        <v>70</v>
      </c>
      <c r="U1457" s="304"/>
    </row>
    <row r="1458" spans="1:21" ht="15" customHeight="1" x14ac:dyDescent="0.35">
      <c r="A1458" s="218" t="s">
        <v>3750</v>
      </c>
      <c r="B1458" s="3">
        <v>1384</v>
      </c>
      <c r="C1458" s="44">
        <v>102005219</v>
      </c>
      <c r="D1458" s="18" t="s">
        <v>1922</v>
      </c>
      <c r="E1458" s="19" t="s">
        <v>2219</v>
      </c>
      <c r="F1458" s="12">
        <v>2</v>
      </c>
      <c r="G1458" s="3" t="s">
        <v>0</v>
      </c>
      <c r="H1458" s="39">
        <v>42279</v>
      </c>
      <c r="I1458" s="27" t="s">
        <v>984</v>
      </c>
      <c r="J1458" s="4" t="s">
        <v>1962</v>
      </c>
      <c r="K1458" s="4" t="s">
        <v>988</v>
      </c>
      <c r="L1458" s="29" t="s">
        <v>977</v>
      </c>
      <c r="M1458" s="78">
        <f t="shared" si="288"/>
        <v>77754.759999999995</v>
      </c>
      <c r="N1458" s="78">
        <f>O1458/F1458</f>
        <v>38877.379999999997</v>
      </c>
      <c r="O1458" s="78">
        <v>77754.759999999995</v>
      </c>
      <c r="P1458" s="72">
        <v>122340</v>
      </c>
      <c r="Q1458" s="256">
        <f>R1458-P1458</f>
        <v>26914.799999999999</v>
      </c>
      <c r="R1458" s="256">
        <f>P1458*1.22</f>
        <v>149254.79999999999</v>
      </c>
      <c r="S1458" s="289"/>
      <c r="T1458" s="3">
        <v>71</v>
      </c>
      <c r="U1458" s="292" t="s">
        <v>2341</v>
      </c>
    </row>
    <row r="1459" spans="1:21" ht="15" customHeight="1" x14ac:dyDescent="0.35">
      <c r="A1459" s="218" t="s">
        <v>3751</v>
      </c>
      <c r="B1459" s="3">
        <v>1385</v>
      </c>
      <c r="C1459" s="44">
        <v>10122936</v>
      </c>
      <c r="D1459" s="18" t="s">
        <v>1923</v>
      </c>
      <c r="E1459" s="19" t="s">
        <v>2219</v>
      </c>
      <c r="F1459" s="12">
        <v>2</v>
      </c>
      <c r="G1459" s="3" t="s">
        <v>0</v>
      </c>
      <c r="H1459" s="39">
        <v>42129</v>
      </c>
      <c r="I1459" s="27" t="s">
        <v>984</v>
      </c>
      <c r="J1459" s="4" t="s">
        <v>1962</v>
      </c>
      <c r="K1459" s="4" t="s">
        <v>988</v>
      </c>
      <c r="L1459" s="29" t="s">
        <v>977</v>
      </c>
      <c r="M1459" s="78">
        <f t="shared" si="288"/>
        <v>66216.34</v>
      </c>
      <c r="N1459" s="78">
        <f>O1459/F1459</f>
        <v>33108.17</v>
      </c>
      <c r="O1459" s="78">
        <v>66216.34</v>
      </c>
      <c r="P1459" s="72">
        <v>108020</v>
      </c>
      <c r="Q1459" s="256">
        <f>R1459-P1459</f>
        <v>23764.400000000001</v>
      </c>
      <c r="R1459" s="256">
        <f>P1459*1.22</f>
        <v>131784.4</v>
      </c>
      <c r="S1459" s="297"/>
      <c r="T1459" s="3">
        <v>71</v>
      </c>
      <c r="U1459" s="293"/>
    </row>
    <row r="1460" spans="1:21" ht="15" customHeight="1" x14ac:dyDescent="0.35">
      <c r="A1460" s="218"/>
      <c r="B1460" s="94"/>
      <c r="C1460" s="44"/>
      <c r="D1460" s="18"/>
      <c r="E1460" s="18"/>
      <c r="F1460" s="12"/>
      <c r="G1460" s="3"/>
      <c r="H1460" s="39"/>
      <c r="I1460" s="27"/>
      <c r="J1460" s="4"/>
      <c r="K1460" s="4"/>
      <c r="L1460" s="29"/>
      <c r="M1460" s="78"/>
      <c r="N1460" s="78"/>
      <c r="O1460" s="108">
        <f>SUM(O1458:O1459)</f>
        <v>143971.1</v>
      </c>
      <c r="P1460" s="276">
        <f t="shared" ref="P1460:Q1460" si="293">SUM(P1458:P1459)</f>
        <v>230360</v>
      </c>
      <c r="Q1460" s="282">
        <f t="shared" si="293"/>
        <v>50679.199999999997</v>
      </c>
      <c r="R1460" s="282">
        <f>SUM(R1458:R1459)</f>
        <v>281039.2</v>
      </c>
      <c r="S1460" s="286">
        <f>R1460/100*10</f>
        <v>28103.919999999998</v>
      </c>
      <c r="T1460" s="104">
        <v>71</v>
      </c>
      <c r="U1460" s="304"/>
    </row>
    <row r="1461" spans="1:21" ht="15" customHeight="1" x14ac:dyDescent="0.35">
      <c r="A1461" s="218" t="s">
        <v>3752</v>
      </c>
      <c r="B1461" s="3">
        <v>1386</v>
      </c>
      <c r="C1461" s="44">
        <v>10151984</v>
      </c>
      <c r="D1461" s="18" t="s">
        <v>288</v>
      </c>
      <c r="E1461" s="18" t="s">
        <v>709</v>
      </c>
      <c r="F1461" s="12">
        <v>2</v>
      </c>
      <c r="G1461" s="3" t="s">
        <v>0</v>
      </c>
      <c r="H1461" s="5">
        <v>42004</v>
      </c>
      <c r="I1461" s="38" t="s">
        <v>1003</v>
      </c>
      <c r="J1461" s="4" t="s">
        <v>1962</v>
      </c>
      <c r="K1461" s="49" t="s">
        <v>988</v>
      </c>
      <c r="L1461" s="6" t="s">
        <v>871</v>
      </c>
      <c r="M1461" s="81">
        <f t="shared" si="288"/>
        <v>648514</v>
      </c>
      <c r="N1461" s="81">
        <f t="shared" ref="N1461:N1470" si="294">O1461/F1461</f>
        <v>324257</v>
      </c>
      <c r="O1461" s="81">
        <v>648514</v>
      </c>
      <c r="P1461" s="72">
        <v>538770</v>
      </c>
      <c r="Q1461" s="256">
        <f t="shared" ref="Q1461:Q1470" si="295">R1461-P1461</f>
        <v>118529.4</v>
      </c>
      <c r="R1461" s="256">
        <f t="shared" ref="R1461:R1470" si="296">P1461*1.22</f>
        <v>657299.4</v>
      </c>
      <c r="S1461" s="289"/>
      <c r="T1461" s="3">
        <v>72</v>
      </c>
      <c r="U1461" s="294" t="s">
        <v>2341</v>
      </c>
    </row>
    <row r="1462" spans="1:21" ht="15" customHeight="1" x14ac:dyDescent="0.35">
      <c r="A1462" s="218" t="s">
        <v>3753</v>
      </c>
      <c r="B1462" s="3">
        <v>1387</v>
      </c>
      <c r="C1462" s="44">
        <v>10148392</v>
      </c>
      <c r="D1462" s="18" t="s">
        <v>297</v>
      </c>
      <c r="E1462" s="18" t="s">
        <v>709</v>
      </c>
      <c r="F1462" s="12">
        <v>14.97</v>
      </c>
      <c r="G1462" s="3" t="s">
        <v>17</v>
      </c>
      <c r="H1462" s="5">
        <v>42004</v>
      </c>
      <c r="I1462" s="38" t="s">
        <v>1003</v>
      </c>
      <c r="J1462" s="4" t="s">
        <v>1962</v>
      </c>
      <c r="K1462" s="49" t="s">
        <v>988</v>
      </c>
      <c r="L1462" s="6" t="s">
        <v>871</v>
      </c>
      <c r="M1462" s="81">
        <f t="shared" si="288"/>
        <v>1178094.0900000001</v>
      </c>
      <c r="N1462" s="81">
        <f t="shared" si="294"/>
        <v>78697</v>
      </c>
      <c r="O1462" s="81">
        <v>1178094.0900000001</v>
      </c>
      <c r="P1462" s="72">
        <v>978740</v>
      </c>
      <c r="Q1462" s="256">
        <f t="shared" si="295"/>
        <v>215322.8</v>
      </c>
      <c r="R1462" s="256">
        <f t="shared" si="296"/>
        <v>1194062.8</v>
      </c>
      <c r="S1462" s="296"/>
      <c r="T1462" s="3">
        <v>72</v>
      </c>
      <c r="U1462" s="294"/>
    </row>
    <row r="1463" spans="1:21" ht="15" customHeight="1" x14ac:dyDescent="0.35">
      <c r="A1463" s="218" t="s">
        <v>3754</v>
      </c>
      <c r="B1463" s="3">
        <v>1388</v>
      </c>
      <c r="C1463" s="58">
        <v>10001716</v>
      </c>
      <c r="D1463" s="21" t="s">
        <v>881</v>
      </c>
      <c r="E1463" s="18" t="s">
        <v>2196</v>
      </c>
      <c r="F1463" s="22">
        <v>16</v>
      </c>
      <c r="G1463" s="3" t="s">
        <v>0</v>
      </c>
      <c r="H1463" s="33">
        <v>42004</v>
      </c>
      <c r="I1463" s="4" t="s">
        <v>999</v>
      </c>
      <c r="J1463" s="4" t="s">
        <v>1962</v>
      </c>
      <c r="K1463" s="4" t="s">
        <v>988</v>
      </c>
      <c r="L1463" s="5" t="s">
        <v>871</v>
      </c>
      <c r="M1463" s="72">
        <f t="shared" si="288"/>
        <v>15769.4</v>
      </c>
      <c r="N1463" s="72">
        <f t="shared" si="294"/>
        <v>985.59</v>
      </c>
      <c r="O1463" s="72">
        <v>15769.4</v>
      </c>
      <c r="P1463" s="72">
        <v>13100</v>
      </c>
      <c r="Q1463" s="256">
        <f t="shared" si="295"/>
        <v>2882</v>
      </c>
      <c r="R1463" s="256">
        <f t="shared" si="296"/>
        <v>15982</v>
      </c>
      <c r="S1463" s="296"/>
      <c r="T1463" s="3">
        <v>72</v>
      </c>
      <c r="U1463" s="294"/>
    </row>
    <row r="1464" spans="1:21" ht="15.75" customHeight="1" x14ac:dyDescent="0.35">
      <c r="A1464" s="218" t="s">
        <v>3755</v>
      </c>
      <c r="B1464" s="3">
        <v>1389</v>
      </c>
      <c r="C1464" s="58">
        <v>10036183</v>
      </c>
      <c r="D1464" s="21" t="s">
        <v>882</v>
      </c>
      <c r="E1464" s="18" t="s">
        <v>2196</v>
      </c>
      <c r="F1464" s="22">
        <v>2</v>
      </c>
      <c r="G1464" s="3" t="s">
        <v>0</v>
      </c>
      <c r="H1464" s="33">
        <v>42004</v>
      </c>
      <c r="I1464" s="4" t="s">
        <v>999</v>
      </c>
      <c r="J1464" s="4" t="s">
        <v>1962</v>
      </c>
      <c r="K1464" s="4" t="s">
        <v>988</v>
      </c>
      <c r="L1464" s="5" t="s">
        <v>871</v>
      </c>
      <c r="M1464" s="96">
        <f t="shared" si="288"/>
        <v>2883.31</v>
      </c>
      <c r="N1464" s="96">
        <f t="shared" si="294"/>
        <v>1441.66</v>
      </c>
      <c r="O1464" s="72">
        <v>2883.31</v>
      </c>
      <c r="P1464" s="72">
        <v>990</v>
      </c>
      <c r="Q1464" s="256">
        <f t="shared" si="295"/>
        <v>217.8</v>
      </c>
      <c r="R1464" s="256">
        <f t="shared" si="296"/>
        <v>1207.8</v>
      </c>
      <c r="S1464" s="296"/>
      <c r="T1464" s="3">
        <v>72</v>
      </c>
      <c r="U1464" s="294"/>
    </row>
    <row r="1465" spans="1:21" ht="19.5" customHeight="1" x14ac:dyDescent="0.35">
      <c r="A1465" s="218" t="s">
        <v>3756</v>
      </c>
      <c r="B1465" s="3">
        <v>1390</v>
      </c>
      <c r="C1465" s="58">
        <v>10036184</v>
      </c>
      <c r="D1465" s="21" t="s">
        <v>883</v>
      </c>
      <c r="E1465" s="18" t="s">
        <v>2196</v>
      </c>
      <c r="F1465" s="22">
        <v>16</v>
      </c>
      <c r="G1465" s="3" t="s">
        <v>0</v>
      </c>
      <c r="H1465" s="33">
        <v>42004</v>
      </c>
      <c r="I1465" s="4" t="s">
        <v>999</v>
      </c>
      <c r="J1465" s="4" t="s">
        <v>1962</v>
      </c>
      <c r="K1465" s="4" t="s">
        <v>988</v>
      </c>
      <c r="L1465" s="5" t="s">
        <v>871</v>
      </c>
      <c r="M1465" s="72">
        <f t="shared" si="288"/>
        <v>27993.22</v>
      </c>
      <c r="N1465" s="72">
        <f t="shared" si="294"/>
        <v>1749.58</v>
      </c>
      <c r="O1465" s="72">
        <v>27993.22</v>
      </c>
      <c r="P1465" s="72">
        <v>24150</v>
      </c>
      <c r="Q1465" s="256">
        <f t="shared" si="295"/>
        <v>5313</v>
      </c>
      <c r="R1465" s="256">
        <f t="shared" si="296"/>
        <v>29463</v>
      </c>
      <c r="S1465" s="296"/>
      <c r="T1465" s="3">
        <v>72</v>
      </c>
      <c r="U1465" s="294"/>
    </row>
    <row r="1466" spans="1:21" ht="17.149999999999999" customHeight="1" x14ac:dyDescent="0.35">
      <c r="A1466" s="218" t="s">
        <v>3757</v>
      </c>
      <c r="B1466" s="3">
        <v>1391</v>
      </c>
      <c r="C1466" s="58">
        <v>10027332</v>
      </c>
      <c r="D1466" s="21" t="s">
        <v>922</v>
      </c>
      <c r="E1466" s="18" t="s">
        <v>2201</v>
      </c>
      <c r="F1466" s="22">
        <v>2</v>
      </c>
      <c r="G1466" s="3" t="s">
        <v>0</v>
      </c>
      <c r="H1466" s="33">
        <v>42004</v>
      </c>
      <c r="I1466" s="4" t="s">
        <v>999</v>
      </c>
      <c r="J1466" s="4" t="s">
        <v>1962</v>
      </c>
      <c r="K1466" s="4" t="s">
        <v>988</v>
      </c>
      <c r="L1466" s="5" t="s">
        <v>871</v>
      </c>
      <c r="M1466" s="72">
        <f t="shared" si="288"/>
        <v>3498.85</v>
      </c>
      <c r="N1466" s="72">
        <f t="shared" si="294"/>
        <v>1749.43</v>
      </c>
      <c r="O1466" s="72">
        <v>3498.85</v>
      </c>
      <c r="P1466" s="72">
        <v>2910</v>
      </c>
      <c r="Q1466" s="256">
        <f t="shared" si="295"/>
        <v>640.20000000000005</v>
      </c>
      <c r="R1466" s="256">
        <f t="shared" si="296"/>
        <v>3550.2</v>
      </c>
      <c r="S1466" s="296"/>
      <c r="T1466" s="3">
        <v>72</v>
      </c>
      <c r="U1466" s="294"/>
    </row>
    <row r="1467" spans="1:21" ht="15" customHeight="1" x14ac:dyDescent="0.35">
      <c r="A1467" s="218" t="s">
        <v>3758</v>
      </c>
      <c r="B1467" s="3">
        <v>1392</v>
      </c>
      <c r="C1467" s="58">
        <v>10097263</v>
      </c>
      <c r="D1467" s="21" t="s">
        <v>877</v>
      </c>
      <c r="E1467" s="18" t="s">
        <v>2201</v>
      </c>
      <c r="F1467" s="7">
        <v>1</v>
      </c>
      <c r="G1467" s="3" t="s">
        <v>0</v>
      </c>
      <c r="H1467" s="33">
        <v>42570</v>
      </c>
      <c r="I1467" s="4" t="s">
        <v>999</v>
      </c>
      <c r="J1467" s="4" t="s">
        <v>1962</v>
      </c>
      <c r="K1467" s="4" t="s">
        <v>988</v>
      </c>
      <c r="L1467" s="5" t="s">
        <v>871</v>
      </c>
      <c r="M1467" s="72">
        <f t="shared" si="288"/>
        <v>11068.63</v>
      </c>
      <c r="N1467" s="72">
        <f t="shared" si="294"/>
        <v>11068.63</v>
      </c>
      <c r="O1467" s="72">
        <v>11068.63</v>
      </c>
      <c r="P1467" s="72">
        <v>8850</v>
      </c>
      <c r="Q1467" s="256">
        <f t="shared" si="295"/>
        <v>1947</v>
      </c>
      <c r="R1467" s="256">
        <f t="shared" si="296"/>
        <v>10797</v>
      </c>
      <c r="S1467" s="296"/>
      <c r="T1467" s="3">
        <v>72</v>
      </c>
      <c r="U1467" s="294"/>
    </row>
    <row r="1468" spans="1:21" ht="15" customHeight="1" x14ac:dyDescent="0.35">
      <c r="A1468" s="218" t="s">
        <v>3759</v>
      </c>
      <c r="B1468" s="3">
        <v>1393</v>
      </c>
      <c r="C1468" s="44">
        <v>10001716</v>
      </c>
      <c r="D1468" s="18" t="s">
        <v>11</v>
      </c>
      <c r="E1468" s="18" t="s">
        <v>2228</v>
      </c>
      <c r="F1468" s="12">
        <v>1</v>
      </c>
      <c r="G1468" s="3" t="s">
        <v>0</v>
      </c>
      <c r="H1468" s="5">
        <v>41267</v>
      </c>
      <c r="I1468" s="27" t="s">
        <v>984</v>
      </c>
      <c r="J1468" s="5" t="s">
        <v>1962</v>
      </c>
      <c r="K1468" s="5" t="s">
        <v>988</v>
      </c>
      <c r="L1468" s="29" t="s">
        <v>2143</v>
      </c>
      <c r="M1468" s="78">
        <f t="shared" si="288"/>
        <v>983.26</v>
      </c>
      <c r="N1468" s="78">
        <f t="shared" si="294"/>
        <v>983.26</v>
      </c>
      <c r="O1468" s="78">
        <v>983.26</v>
      </c>
      <c r="P1468" s="72">
        <v>820</v>
      </c>
      <c r="Q1468" s="256">
        <f t="shared" si="295"/>
        <v>180.4</v>
      </c>
      <c r="R1468" s="256">
        <f t="shared" si="296"/>
        <v>1000.4</v>
      </c>
      <c r="S1468" s="296"/>
      <c r="T1468" s="3">
        <v>72</v>
      </c>
      <c r="U1468" s="294"/>
    </row>
    <row r="1469" spans="1:21" ht="15" customHeight="1" x14ac:dyDescent="0.35">
      <c r="A1469" s="218" t="s">
        <v>3760</v>
      </c>
      <c r="B1469" s="3">
        <v>1394</v>
      </c>
      <c r="C1469" s="44">
        <v>102014325</v>
      </c>
      <c r="D1469" s="18" t="s">
        <v>236</v>
      </c>
      <c r="E1469" s="18" t="s">
        <v>2252</v>
      </c>
      <c r="F1469" s="12">
        <v>1</v>
      </c>
      <c r="G1469" s="3" t="s">
        <v>0</v>
      </c>
      <c r="H1469" s="5">
        <v>42870</v>
      </c>
      <c r="I1469" s="5" t="s">
        <v>2144</v>
      </c>
      <c r="J1469" s="4" t="s">
        <v>1962</v>
      </c>
      <c r="K1469" s="5" t="s">
        <v>988</v>
      </c>
      <c r="L1469" s="6" t="s">
        <v>871</v>
      </c>
      <c r="M1469" s="81">
        <f t="shared" si="288"/>
        <v>81591.100000000006</v>
      </c>
      <c r="N1469" s="81">
        <f t="shared" si="294"/>
        <v>81591.100000000006</v>
      </c>
      <c r="O1469" s="81">
        <v>81591.100000000006</v>
      </c>
      <c r="P1469" s="72">
        <v>62180</v>
      </c>
      <c r="Q1469" s="256">
        <f t="shared" si="295"/>
        <v>13679.6</v>
      </c>
      <c r="R1469" s="256">
        <f t="shared" si="296"/>
        <v>75859.600000000006</v>
      </c>
      <c r="S1469" s="296"/>
      <c r="T1469" s="3">
        <v>72</v>
      </c>
      <c r="U1469" s="294"/>
    </row>
    <row r="1470" spans="1:21" ht="15" customHeight="1" x14ac:dyDescent="0.35">
      <c r="A1470" s="218" t="s">
        <v>3761</v>
      </c>
      <c r="B1470" s="3">
        <v>1395</v>
      </c>
      <c r="C1470" s="44">
        <v>102016195</v>
      </c>
      <c r="D1470" s="18" t="s">
        <v>237</v>
      </c>
      <c r="E1470" s="18" t="s">
        <v>2252</v>
      </c>
      <c r="F1470" s="12">
        <v>1</v>
      </c>
      <c r="G1470" s="3" t="s">
        <v>0</v>
      </c>
      <c r="H1470" s="5">
        <v>42870</v>
      </c>
      <c r="I1470" s="5" t="s">
        <v>2144</v>
      </c>
      <c r="J1470" s="4" t="s">
        <v>1962</v>
      </c>
      <c r="K1470" s="5" t="s">
        <v>988</v>
      </c>
      <c r="L1470" s="6" t="s">
        <v>871</v>
      </c>
      <c r="M1470" s="81">
        <f t="shared" si="288"/>
        <v>77303.58</v>
      </c>
      <c r="N1470" s="81">
        <f t="shared" si="294"/>
        <v>77303.58</v>
      </c>
      <c r="O1470" s="81">
        <v>77303.58</v>
      </c>
      <c r="P1470" s="72">
        <v>58910</v>
      </c>
      <c r="Q1470" s="256">
        <f t="shared" si="295"/>
        <v>12960.2</v>
      </c>
      <c r="R1470" s="256">
        <f t="shared" si="296"/>
        <v>71870.2</v>
      </c>
      <c r="S1470" s="297"/>
      <c r="T1470" s="3">
        <v>72</v>
      </c>
      <c r="U1470" s="294"/>
    </row>
    <row r="1471" spans="1:21" ht="15" customHeight="1" x14ac:dyDescent="0.35">
      <c r="A1471" s="218"/>
      <c r="B1471" s="94"/>
      <c r="C1471" s="44"/>
      <c r="D1471" s="18"/>
      <c r="E1471" s="18"/>
      <c r="F1471" s="12"/>
      <c r="G1471" s="3"/>
      <c r="H1471" s="5"/>
      <c r="I1471" s="5"/>
      <c r="J1471" s="4"/>
      <c r="K1471" s="5"/>
      <c r="L1471" s="6"/>
      <c r="M1471" s="81"/>
      <c r="N1471" s="81"/>
      <c r="O1471" s="109">
        <f>SUM(O1461:O1470)</f>
        <v>2047699.44</v>
      </c>
      <c r="P1471" s="276">
        <f t="shared" ref="P1471:Q1471" si="297">SUM(P1461:P1470)</f>
        <v>1689420</v>
      </c>
      <c r="Q1471" s="282">
        <f t="shared" si="297"/>
        <v>371672.4</v>
      </c>
      <c r="R1471" s="282">
        <f>SUM(R1461:R1470)</f>
        <v>2061092.4</v>
      </c>
      <c r="S1471" s="286">
        <f>R1471/100*10</f>
        <v>206109.24</v>
      </c>
      <c r="T1471" s="104">
        <v>72</v>
      </c>
      <c r="U1471" s="295"/>
    </row>
    <row r="1472" spans="1:21" ht="19.5" customHeight="1" x14ac:dyDescent="0.35">
      <c r="A1472" s="218" t="s">
        <v>3762</v>
      </c>
      <c r="B1472" s="3">
        <v>1396</v>
      </c>
      <c r="C1472" s="44">
        <v>10002219</v>
      </c>
      <c r="D1472" s="18" t="s">
        <v>1814</v>
      </c>
      <c r="E1472" s="18" t="s">
        <v>2228</v>
      </c>
      <c r="F1472" s="12">
        <v>6.3E-2</v>
      </c>
      <c r="G1472" s="3" t="s">
        <v>3</v>
      </c>
      <c r="H1472" s="39">
        <v>39506</v>
      </c>
      <c r="I1472" s="27" t="s">
        <v>984</v>
      </c>
      <c r="J1472" s="4" t="s">
        <v>1962</v>
      </c>
      <c r="K1472" s="4" t="s">
        <v>988</v>
      </c>
      <c r="L1472" s="29" t="s">
        <v>977</v>
      </c>
      <c r="M1472" s="78">
        <f t="shared" si="288"/>
        <v>4181.16</v>
      </c>
      <c r="N1472" s="78">
        <f t="shared" ref="N1472:N1479" si="298">O1472/F1472</f>
        <v>66367.62</v>
      </c>
      <c r="O1472" s="78">
        <v>4181.16</v>
      </c>
      <c r="P1472" s="72">
        <v>9980</v>
      </c>
      <c r="Q1472" s="256">
        <f t="shared" ref="Q1472:Q1479" si="299">R1472-P1472</f>
        <v>2195.6</v>
      </c>
      <c r="R1472" s="256">
        <f t="shared" ref="R1472:R1479" si="300">P1472*1.22</f>
        <v>12175.6</v>
      </c>
      <c r="S1472" s="289"/>
      <c r="T1472" s="3">
        <v>73</v>
      </c>
      <c r="U1472" s="294" t="s">
        <v>4108</v>
      </c>
    </row>
    <row r="1473" spans="1:21" ht="15" customHeight="1" x14ac:dyDescent="0.35">
      <c r="A1473" s="218" t="s">
        <v>3763</v>
      </c>
      <c r="B1473" s="3">
        <v>1397</v>
      </c>
      <c r="C1473" s="44">
        <v>10002241</v>
      </c>
      <c r="D1473" s="18" t="s">
        <v>1815</v>
      </c>
      <c r="E1473" s="18" t="s">
        <v>2228</v>
      </c>
      <c r="F1473" s="12">
        <v>1.141</v>
      </c>
      <c r="G1473" s="3" t="s">
        <v>3</v>
      </c>
      <c r="H1473" s="39">
        <v>39504</v>
      </c>
      <c r="I1473" s="27" t="s">
        <v>984</v>
      </c>
      <c r="J1473" s="4" t="s">
        <v>1962</v>
      </c>
      <c r="K1473" s="4" t="s">
        <v>988</v>
      </c>
      <c r="L1473" s="29" t="s">
        <v>977</v>
      </c>
      <c r="M1473" s="78">
        <f t="shared" si="288"/>
        <v>75725.440000000002</v>
      </c>
      <c r="N1473" s="78">
        <f t="shared" si="298"/>
        <v>66367.61</v>
      </c>
      <c r="O1473" s="78">
        <v>75725.440000000002</v>
      </c>
      <c r="P1473" s="72">
        <v>180690</v>
      </c>
      <c r="Q1473" s="256">
        <f t="shared" si="299"/>
        <v>39751.800000000003</v>
      </c>
      <c r="R1473" s="256">
        <f t="shared" si="300"/>
        <v>220441.8</v>
      </c>
      <c r="S1473" s="296"/>
      <c r="T1473" s="3">
        <v>73</v>
      </c>
      <c r="U1473" s="293"/>
    </row>
    <row r="1474" spans="1:21" ht="15" customHeight="1" x14ac:dyDescent="0.35">
      <c r="A1474" s="218" t="s">
        <v>3764</v>
      </c>
      <c r="B1474" s="3">
        <v>1398</v>
      </c>
      <c r="C1474" s="44">
        <v>10002245</v>
      </c>
      <c r="D1474" s="18" t="s">
        <v>1816</v>
      </c>
      <c r="E1474" s="18" t="s">
        <v>2228</v>
      </c>
      <c r="F1474" s="12">
        <v>0.52200000000000002</v>
      </c>
      <c r="G1474" s="3" t="s">
        <v>3</v>
      </c>
      <c r="H1474" s="39">
        <v>39506</v>
      </c>
      <c r="I1474" s="27" t="s">
        <v>984</v>
      </c>
      <c r="J1474" s="4" t="s">
        <v>1962</v>
      </c>
      <c r="K1474" s="4" t="s">
        <v>988</v>
      </c>
      <c r="L1474" s="29" t="s">
        <v>977</v>
      </c>
      <c r="M1474" s="78">
        <f t="shared" si="288"/>
        <v>34643.89</v>
      </c>
      <c r="N1474" s="78">
        <f t="shared" si="298"/>
        <v>66367.61</v>
      </c>
      <c r="O1474" s="78">
        <v>34643.89</v>
      </c>
      <c r="P1474" s="72">
        <v>82660</v>
      </c>
      <c r="Q1474" s="256">
        <f t="shared" si="299"/>
        <v>18185.2</v>
      </c>
      <c r="R1474" s="256">
        <f t="shared" si="300"/>
        <v>100845.2</v>
      </c>
      <c r="S1474" s="296"/>
      <c r="T1474" s="3">
        <v>73</v>
      </c>
      <c r="U1474" s="293"/>
    </row>
    <row r="1475" spans="1:21" ht="15" customHeight="1" x14ac:dyDescent="0.35">
      <c r="A1475" s="218" t="s">
        <v>3765</v>
      </c>
      <c r="B1475" s="3">
        <v>1399</v>
      </c>
      <c r="C1475" s="44">
        <v>10002249</v>
      </c>
      <c r="D1475" s="18" t="s">
        <v>1817</v>
      </c>
      <c r="E1475" s="18" t="s">
        <v>2228</v>
      </c>
      <c r="F1475" s="12">
        <v>0.60399999999999998</v>
      </c>
      <c r="G1475" s="3" t="s">
        <v>3</v>
      </c>
      <c r="H1475" s="39">
        <v>39506</v>
      </c>
      <c r="I1475" s="27" t="s">
        <v>984</v>
      </c>
      <c r="J1475" s="4" t="s">
        <v>1962</v>
      </c>
      <c r="K1475" s="4" t="s">
        <v>988</v>
      </c>
      <c r="L1475" s="29" t="s">
        <v>977</v>
      </c>
      <c r="M1475" s="78">
        <f t="shared" si="288"/>
        <v>40086.03</v>
      </c>
      <c r="N1475" s="78">
        <f t="shared" si="298"/>
        <v>66367.600000000006</v>
      </c>
      <c r="O1475" s="78">
        <v>40086.03</v>
      </c>
      <c r="P1475" s="72">
        <v>95650</v>
      </c>
      <c r="Q1475" s="256">
        <f t="shared" si="299"/>
        <v>21043</v>
      </c>
      <c r="R1475" s="256">
        <f t="shared" si="300"/>
        <v>116693</v>
      </c>
      <c r="S1475" s="296"/>
      <c r="T1475" s="3">
        <v>73</v>
      </c>
      <c r="U1475" s="293"/>
    </row>
    <row r="1476" spans="1:21" ht="15" customHeight="1" x14ac:dyDescent="0.35">
      <c r="A1476" s="218" t="s">
        <v>3766</v>
      </c>
      <c r="B1476" s="3">
        <v>1400</v>
      </c>
      <c r="C1476" s="44">
        <v>10108927</v>
      </c>
      <c r="D1476" s="18" t="s">
        <v>1830</v>
      </c>
      <c r="E1476" s="18" t="s">
        <v>2228</v>
      </c>
      <c r="F1476" s="12">
        <v>1.7000000000000001E-2</v>
      </c>
      <c r="G1476" s="3" t="s">
        <v>3</v>
      </c>
      <c r="H1476" s="39">
        <v>42229</v>
      </c>
      <c r="I1476" s="27" t="s">
        <v>984</v>
      </c>
      <c r="J1476" s="4" t="s">
        <v>1978</v>
      </c>
      <c r="K1476" s="4" t="s">
        <v>988</v>
      </c>
      <c r="L1476" s="29" t="s">
        <v>977</v>
      </c>
      <c r="M1476" s="78">
        <f t="shared" si="288"/>
        <v>6981.69</v>
      </c>
      <c r="N1476" s="78">
        <f t="shared" si="298"/>
        <v>410687.65</v>
      </c>
      <c r="O1476" s="78">
        <v>6981.69</v>
      </c>
      <c r="P1476" s="72">
        <v>10360</v>
      </c>
      <c r="Q1476" s="256">
        <f t="shared" si="299"/>
        <v>2279.1999999999998</v>
      </c>
      <c r="R1476" s="256">
        <f t="shared" si="300"/>
        <v>12639.2</v>
      </c>
      <c r="S1476" s="296"/>
      <c r="T1476" s="3">
        <v>73</v>
      </c>
      <c r="U1476" s="293"/>
    </row>
    <row r="1477" spans="1:21" ht="15" customHeight="1" x14ac:dyDescent="0.35">
      <c r="A1477" s="218" t="s">
        <v>3767</v>
      </c>
      <c r="B1477" s="3">
        <v>1401</v>
      </c>
      <c r="C1477" s="44">
        <v>10001868</v>
      </c>
      <c r="D1477" s="18" t="s">
        <v>1941</v>
      </c>
      <c r="E1477" s="18" t="s">
        <v>2228</v>
      </c>
      <c r="F1477" s="12">
        <v>2.94</v>
      </c>
      <c r="G1477" s="3" t="s">
        <v>3</v>
      </c>
      <c r="H1477" s="39">
        <v>41249</v>
      </c>
      <c r="I1477" s="27" t="s">
        <v>984</v>
      </c>
      <c r="J1477" s="4" t="s">
        <v>1962</v>
      </c>
      <c r="K1477" s="4" t="s">
        <v>988</v>
      </c>
      <c r="L1477" s="29" t="s">
        <v>977</v>
      </c>
      <c r="M1477" s="78">
        <f t="shared" si="288"/>
        <v>62501.93</v>
      </c>
      <c r="N1477" s="78">
        <f t="shared" si="298"/>
        <v>21259.16</v>
      </c>
      <c r="O1477" s="78">
        <v>62501.93</v>
      </c>
      <c r="P1477" s="72">
        <v>106200</v>
      </c>
      <c r="Q1477" s="256">
        <f t="shared" si="299"/>
        <v>23364</v>
      </c>
      <c r="R1477" s="256">
        <f t="shared" si="300"/>
        <v>129564</v>
      </c>
      <c r="S1477" s="296"/>
      <c r="T1477" s="3">
        <v>73</v>
      </c>
      <c r="U1477" s="293"/>
    </row>
    <row r="1478" spans="1:21" ht="15" customHeight="1" x14ac:dyDescent="0.35">
      <c r="A1478" s="218" t="s">
        <v>3768</v>
      </c>
      <c r="B1478" s="3">
        <v>1402</v>
      </c>
      <c r="C1478" s="44">
        <v>10051367</v>
      </c>
      <c r="D1478" s="18" t="s">
        <v>1942</v>
      </c>
      <c r="E1478" s="18" t="s">
        <v>2228</v>
      </c>
      <c r="F1478" s="12">
        <v>3.8839999999999999</v>
      </c>
      <c r="G1478" s="3" t="s">
        <v>3</v>
      </c>
      <c r="H1478" s="39">
        <v>41249</v>
      </c>
      <c r="I1478" s="27" t="s">
        <v>984</v>
      </c>
      <c r="J1478" s="4" t="s">
        <v>1962</v>
      </c>
      <c r="K1478" s="4" t="s">
        <v>988</v>
      </c>
      <c r="L1478" s="29" t="s">
        <v>977</v>
      </c>
      <c r="M1478" s="78">
        <f t="shared" si="288"/>
        <v>107266.64</v>
      </c>
      <c r="N1478" s="78">
        <f t="shared" si="298"/>
        <v>27617.57</v>
      </c>
      <c r="O1478" s="78">
        <v>107266.64</v>
      </c>
      <c r="P1478" s="72">
        <v>172430</v>
      </c>
      <c r="Q1478" s="256">
        <f t="shared" si="299"/>
        <v>37934.6</v>
      </c>
      <c r="R1478" s="256">
        <f t="shared" si="300"/>
        <v>210364.6</v>
      </c>
      <c r="S1478" s="296"/>
      <c r="T1478" s="3">
        <v>73</v>
      </c>
      <c r="U1478" s="293"/>
    </row>
    <row r="1479" spans="1:21" ht="15" customHeight="1" x14ac:dyDescent="0.35">
      <c r="A1479" s="218" t="s">
        <v>3769</v>
      </c>
      <c r="B1479" s="3">
        <v>1403</v>
      </c>
      <c r="C1479" s="44">
        <v>10150712</v>
      </c>
      <c r="D1479" s="18" t="s">
        <v>1943</v>
      </c>
      <c r="E1479" s="18" t="s">
        <v>2228</v>
      </c>
      <c r="F1479" s="12">
        <v>1.7</v>
      </c>
      <c r="G1479" s="3" t="s">
        <v>3</v>
      </c>
      <c r="H1479" s="39">
        <v>41610</v>
      </c>
      <c r="I1479" s="27" t="s">
        <v>984</v>
      </c>
      <c r="J1479" s="4" t="s">
        <v>1962</v>
      </c>
      <c r="K1479" s="4" t="s">
        <v>988</v>
      </c>
      <c r="L1479" s="29" t="s">
        <v>977</v>
      </c>
      <c r="M1479" s="78">
        <f t="shared" si="288"/>
        <v>48248.31</v>
      </c>
      <c r="N1479" s="78">
        <f t="shared" si="298"/>
        <v>28381.360000000001</v>
      </c>
      <c r="O1479" s="78">
        <v>48248.31</v>
      </c>
      <c r="P1479" s="72">
        <v>85670</v>
      </c>
      <c r="Q1479" s="256">
        <f t="shared" si="299"/>
        <v>18847.400000000001</v>
      </c>
      <c r="R1479" s="256">
        <f t="shared" si="300"/>
        <v>104517.4</v>
      </c>
      <c r="S1479" s="297"/>
      <c r="T1479" s="3">
        <v>73</v>
      </c>
      <c r="U1479" s="293"/>
    </row>
    <row r="1480" spans="1:21" ht="15" customHeight="1" x14ac:dyDescent="0.35">
      <c r="A1480" s="218"/>
      <c r="B1480" s="94"/>
      <c r="C1480" s="44"/>
      <c r="D1480" s="18"/>
      <c r="E1480" s="18"/>
      <c r="F1480" s="12"/>
      <c r="G1480" s="3"/>
      <c r="H1480" s="39"/>
      <c r="I1480" s="27"/>
      <c r="J1480" s="4"/>
      <c r="K1480" s="4"/>
      <c r="L1480" s="29"/>
      <c r="M1480" s="78"/>
      <c r="N1480" s="78"/>
      <c r="O1480" s="108">
        <f>SUM(O1472:O1479)</f>
        <v>379635.09</v>
      </c>
      <c r="P1480" s="276">
        <f t="shared" ref="P1480:Q1480" si="301">SUM(P1472:P1479)</f>
        <v>743640</v>
      </c>
      <c r="Q1480" s="282">
        <f t="shared" si="301"/>
        <v>163600.79999999999</v>
      </c>
      <c r="R1480" s="282">
        <f>SUM(R1472:R1479)</f>
        <v>907240.8</v>
      </c>
      <c r="S1480" s="286">
        <f>R1480/100*10</f>
        <v>90724.08</v>
      </c>
      <c r="T1480" s="104">
        <v>73</v>
      </c>
      <c r="U1480" s="304"/>
    </row>
    <row r="1481" spans="1:21" ht="15" customHeight="1" x14ac:dyDescent="0.35">
      <c r="A1481" s="218" t="s">
        <v>3770</v>
      </c>
      <c r="B1481" s="3">
        <v>1404</v>
      </c>
      <c r="C1481" s="44">
        <v>10119003</v>
      </c>
      <c r="D1481" s="18" t="s">
        <v>536</v>
      </c>
      <c r="E1481" s="19" t="s">
        <v>2219</v>
      </c>
      <c r="F1481" s="12">
        <v>10</v>
      </c>
      <c r="G1481" s="12" t="s">
        <v>0</v>
      </c>
      <c r="H1481" s="5">
        <v>41381</v>
      </c>
      <c r="I1481" s="27" t="s">
        <v>984</v>
      </c>
      <c r="J1481" s="4" t="s">
        <v>1962</v>
      </c>
      <c r="K1481" s="4" t="s">
        <v>988</v>
      </c>
      <c r="L1481" s="4" t="s">
        <v>977</v>
      </c>
      <c r="M1481" s="81">
        <f t="shared" ref="M1481:M1513" si="302">O1481</f>
        <v>20918.48</v>
      </c>
      <c r="N1481" s="81">
        <f t="shared" ref="N1481:N1491" si="303">O1481/F1481</f>
        <v>2091.85</v>
      </c>
      <c r="O1481" s="81">
        <v>20918.48</v>
      </c>
      <c r="P1481" s="72">
        <v>27910</v>
      </c>
      <c r="Q1481" s="256">
        <f t="shared" ref="Q1481:Q1491" si="304">R1481-P1481</f>
        <v>6140.2</v>
      </c>
      <c r="R1481" s="256">
        <f t="shared" ref="R1481:R1491" si="305">P1481*1.22</f>
        <v>34050.199999999997</v>
      </c>
      <c r="S1481" s="296"/>
      <c r="T1481" s="3">
        <v>74</v>
      </c>
      <c r="U1481" s="293" t="s">
        <v>2342</v>
      </c>
    </row>
    <row r="1482" spans="1:21" ht="15" customHeight="1" x14ac:dyDescent="0.35">
      <c r="A1482" s="218" t="s">
        <v>3771</v>
      </c>
      <c r="B1482" s="3">
        <v>1405</v>
      </c>
      <c r="C1482" s="44">
        <v>10051203</v>
      </c>
      <c r="D1482" s="18" t="s">
        <v>1460</v>
      </c>
      <c r="E1482" s="19" t="s">
        <v>2219</v>
      </c>
      <c r="F1482" s="12">
        <v>8</v>
      </c>
      <c r="G1482" s="3" t="s">
        <v>0</v>
      </c>
      <c r="H1482" s="39">
        <v>41211</v>
      </c>
      <c r="I1482" s="27" t="s">
        <v>984</v>
      </c>
      <c r="J1482" s="4" t="s">
        <v>1962</v>
      </c>
      <c r="K1482" s="4" t="s">
        <v>988</v>
      </c>
      <c r="L1482" s="29" t="s">
        <v>977</v>
      </c>
      <c r="M1482" s="78">
        <f t="shared" si="302"/>
        <v>15629.01</v>
      </c>
      <c r="N1482" s="78">
        <f t="shared" si="303"/>
        <v>1953.63</v>
      </c>
      <c r="O1482" s="78">
        <v>15629.01</v>
      </c>
      <c r="P1482" s="72">
        <v>20510</v>
      </c>
      <c r="Q1482" s="256">
        <f t="shared" si="304"/>
        <v>4512.2</v>
      </c>
      <c r="R1482" s="256">
        <f t="shared" si="305"/>
        <v>25022.2</v>
      </c>
      <c r="S1482" s="296"/>
      <c r="T1482" s="3">
        <v>74</v>
      </c>
      <c r="U1482" s="293"/>
    </row>
    <row r="1483" spans="1:21" ht="15" customHeight="1" x14ac:dyDescent="0.35">
      <c r="A1483" s="218" t="s">
        <v>3772</v>
      </c>
      <c r="B1483" s="3">
        <v>1406</v>
      </c>
      <c r="C1483" s="44">
        <v>10120344</v>
      </c>
      <c r="D1483" s="18" t="s">
        <v>1461</v>
      </c>
      <c r="E1483" s="19" t="s">
        <v>2219</v>
      </c>
      <c r="F1483" s="12">
        <v>40</v>
      </c>
      <c r="G1483" s="3" t="s">
        <v>0</v>
      </c>
      <c r="H1483" s="39">
        <v>41172</v>
      </c>
      <c r="I1483" s="27" t="s">
        <v>984</v>
      </c>
      <c r="J1483" s="4" t="s">
        <v>1962</v>
      </c>
      <c r="K1483" s="4" t="s">
        <v>988</v>
      </c>
      <c r="L1483" s="29" t="s">
        <v>977</v>
      </c>
      <c r="M1483" s="78">
        <f t="shared" si="302"/>
        <v>88014.55</v>
      </c>
      <c r="N1483" s="78">
        <f t="shared" si="303"/>
        <v>2200.36</v>
      </c>
      <c r="O1483" s="78">
        <v>88014.55</v>
      </c>
      <c r="P1483" s="72">
        <v>115610</v>
      </c>
      <c r="Q1483" s="256">
        <f t="shared" si="304"/>
        <v>25434.2</v>
      </c>
      <c r="R1483" s="256">
        <f t="shared" si="305"/>
        <v>141044.20000000001</v>
      </c>
      <c r="S1483" s="296"/>
      <c r="T1483" s="3">
        <v>74</v>
      </c>
      <c r="U1483" s="293"/>
    </row>
    <row r="1484" spans="1:21" ht="15" customHeight="1" x14ac:dyDescent="0.35">
      <c r="A1484" s="218" t="s">
        <v>3773</v>
      </c>
      <c r="B1484" s="3">
        <v>1407</v>
      </c>
      <c r="C1484" s="44">
        <v>10119041</v>
      </c>
      <c r="D1484" s="18" t="s">
        <v>1462</v>
      </c>
      <c r="E1484" s="19" t="s">
        <v>2219</v>
      </c>
      <c r="F1484" s="12">
        <v>48</v>
      </c>
      <c r="G1484" s="3" t="s">
        <v>0</v>
      </c>
      <c r="H1484" s="39">
        <v>41381</v>
      </c>
      <c r="I1484" s="27" t="s">
        <v>984</v>
      </c>
      <c r="J1484" s="4" t="s">
        <v>1962</v>
      </c>
      <c r="K1484" s="4" t="s">
        <v>988</v>
      </c>
      <c r="L1484" s="29" t="s">
        <v>977</v>
      </c>
      <c r="M1484" s="78">
        <f t="shared" si="302"/>
        <v>108453.77</v>
      </c>
      <c r="N1484" s="78">
        <f t="shared" si="303"/>
        <v>2259.4499999999998</v>
      </c>
      <c r="O1484" s="78">
        <v>108453.77</v>
      </c>
      <c r="P1484" s="72">
        <v>144680</v>
      </c>
      <c r="Q1484" s="256">
        <f t="shared" si="304"/>
        <v>31829.599999999999</v>
      </c>
      <c r="R1484" s="256">
        <f t="shared" si="305"/>
        <v>176509.6</v>
      </c>
      <c r="S1484" s="296"/>
      <c r="T1484" s="3">
        <v>74</v>
      </c>
      <c r="U1484" s="293"/>
    </row>
    <row r="1485" spans="1:21" ht="15" customHeight="1" x14ac:dyDescent="0.35">
      <c r="A1485" s="218" t="s">
        <v>3774</v>
      </c>
      <c r="B1485" s="3">
        <v>1408</v>
      </c>
      <c r="C1485" s="44">
        <v>10119035</v>
      </c>
      <c r="D1485" s="18" t="s">
        <v>1463</v>
      </c>
      <c r="E1485" s="19" t="s">
        <v>2219</v>
      </c>
      <c r="F1485" s="12">
        <v>43</v>
      </c>
      <c r="G1485" s="3" t="s">
        <v>0</v>
      </c>
      <c r="H1485" s="39">
        <v>41369</v>
      </c>
      <c r="I1485" s="27" t="s">
        <v>984</v>
      </c>
      <c r="J1485" s="4" t="s">
        <v>1962</v>
      </c>
      <c r="K1485" s="4" t="s">
        <v>988</v>
      </c>
      <c r="L1485" s="29" t="s">
        <v>977</v>
      </c>
      <c r="M1485" s="78">
        <f t="shared" si="302"/>
        <v>87616</v>
      </c>
      <c r="N1485" s="78">
        <f t="shared" si="303"/>
        <v>2037.58</v>
      </c>
      <c r="O1485" s="78">
        <v>87616</v>
      </c>
      <c r="P1485" s="72">
        <v>103880</v>
      </c>
      <c r="Q1485" s="256">
        <f t="shared" si="304"/>
        <v>22853.599999999999</v>
      </c>
      <c r="R1485" s="256">
        <f t="shared" si="305"/>
        <v>126733.6</v>
      </c>
      <c r="S1485" s="296"/>
      <c r="T1485" s="3">
        <v>74</v>
      </c>
      <c r="U1485" s="293"/>
    </row>
    <row r="1486" spans="1:21" ht="15" customHeight="1" x14ac:dyDescent="0.35">
      <c r="A1486" s="218" t="s">
        <v>3775</v>
      </c>
      <c r="B1486" s="3">
        <v>1409</v>
      </c>
      <c r="C1486" s="44">
        <v>10119034</v>
      </c>
      <c r="D1486" s="18" t="s">
        <v>1464</v>
      </c>
      <c r="E1486" s="19" t="s">
        <v>2219</v>
      </c>
      <c r="F1486" s="12">
        <v>25</v>
      </c>
      <c r="G1486" s="3" t="s">
        <v>0</v>
      </c>
      <c r="H1486" s="39">
        <v>41172</v>
      </c>
      <c r="I1486" s="27" t="s">
        <v>984</v>
      </c>
      <c r="J1486" s="4" t="s">
        <v>1962</v>
      </c>
      <c r="K1486" s="4" t="s">
        <v>988</v>
      </c>
      <c r="L1486" s="29" t="s">
        <v>977</v>
      </c>
      <c r="M1486" s="78">
        <f t="shared" si="302"/>
        <v>49711.06</v>
      </c>
      <c r="N1486" s="78">
        <f t="shared" si="303"/>
        <v>1988.44</v>
      </c>
      <c r="O1486" s="78">
        <v>49711.06</v>
      </c>
      <c r="P1486" s="72">
        <v>59820</v>
      </c>
      <c r="Q1486" s="256">
        <f t="shared" si="304"/>
        <v>13160.4</v>
      </c>
      <c r="R1486" s="256">
        <f t="shared" si="305"/>
        <v>72980.399999999994</v>
      </c>
      <c r="S1486" s="296"/>
      <c r="T1486" s="3">
        <v>74</v>
      </c>
      <c r="U1486" s="293"/>
    </row>
    <row r="1487" spans="1:21" ht="15" customHeight="1" x14ac:dyDescent="0.35">
      <c r="A1487" s="218" t="s">
        <v>3776</v>
      </c>
      <c r="B1487" s="3">
        <v>1410</v>
      </c>
      <c r="C1487" s="44">
        <v>10099058</v>
      </c>
      <c r="D1487" s="18" t="s">
        <v>1503</v>
      </c>
      <c r="E1487" s="19" t="s">
        <v>2219</v>
      </c>
      <c r="F1487" s="12">
        <v>8</v>
      </c>
      <c r="G1487" s="3" t="s">
        <v>0</v>
      </c>
      <c r="H1487" s="39">
        <v>41484</v>
      </c>
      <c r="I1487" s="27" t="s">
        <v>984</v>
      </c>
      <c r="J1487" s="4" t="s">
        <v>1972</v>
      </c>
      <c r="K1487" s="4" t="s">
        <v>988</v>
      </c>
      <c r="L1487" s="29" t="s">
        <v>977</v>
      </c>
      <c r="M1487" s="78">
        <f t="shared" si="302"/>
        <v>56066.400000000001</v>
      </c>
      <c r="N1487" s="78">
        <f t="shared" si="303"/>
        <v>7008.3</v>
      </c>
      <c r="O1487" s="78">
        <v>56066.400000000001</v>
      </c>
      <c r="P1487" s="72">
        <v>66740</v>
      </c>
      <c r="Q1487" s="256">
        <f t="shared" si="304"/>
        <v>14682.8</v>
      </c>
      <c r="R1487" s="256">
        <f t="shared" si="305"/>
        <v>81422.8</v>
      </c>
      <c r="S1487" s="296"/>
      <c r="T1487" s="3">
        <v>74</v>
      </c>
      <c r="U1487" s="293"/>
    </row>
    <row r="1488" spans="1:21" ht="15" customHeight="1" x14ac:dyDescent="0.35">
      <c r="A1488" s="218" t="s">
        <v>3777</v>
      </c>
      <c r="B1488" s="3">
        <v>1411</v>
      </c>
      <c r="C1488" s="44">
        <v>102001288</v>
      </c>
      <c r="D1488" s="18" t="s">
        <v>1504</v>
      </c>
      <c r="E1488" s="19" t="s">
        <v>2219</v>
      </c>
      <c r="F1488" s="12">
        <v>5</v>
      </c>
      <c r="G1488" s="3" t="s">
        <v>0</v>
      </c>
      <c r="H1488" s="39">
        <v>41891</v>
      </c>
      <c r="I1488" s="27" t="s">
        <v>984</v>
      </c>
      <c r="J1488" s="4" t="s">
        <v>1962</v>
      </c>
      <c r="K1488" s="4" t="s">
        <v>988</v>
      </c>
      <c r="L1488" s="29" t="s">
        <v>977</v>
      </c>
      <c r="M1488" s="78">
        <f t="shared" si="302"/>
        <v>4019293.1</v>
      </c>
      <c r="N1488" s="78">
        <f t="shared" si="303"/>
        <v>803858.62</v>
      </c>
      <c r="O1488" s="78">
        <v>4019293.1</v>
      </c>
      <c r="P1488" s="72">
        <v>4893120</v>
      </c>
      <c r="Q1488" s="256">
        <f t="shared" si="304"/>
        <v>1076486.3999999999</v>
      </c>
      <c r="R1488" s="256">
        <f t="shared" si="305"/>
        <v>5969606.4000000004</v>
      </c>
      <c r="S1488" s="296"/>
      <c r="T1488" s="3">
        <v>74</v>
      </c>
      <c r="U1488" s="293"/>
    </row>
    <row r="1489" spans="1:21" ht="15" customHeight="1" x14ac:dyDescent="0.35">
      <c r="A1489" s="218" t="s">
        <v>3778</v>
      </c>
      <c r="B1489" s="3">
        <v>1412</v>
      </c>
      <c r="C1489" s="44">
        <v>10088681</v>
      </c>
      <c r="D1489" s="18" t="s">
        <v>1508</v>
      </c>
      <c r="E1489" s="19" t="s">
        <v>2219</v>
      </c>
      <c r="F1489" s="12">
        <v>11</v>
      </c>
      <c r="G1489" s="3" t="s">
        <v>0</v>
      </c>
      <c r="H1489" s="39">
        <v>40909</v>
      </c>
      <c r="I1489" s="27" t="s">
        <v>984</v>
      </c>
      <c r="J1489" s="4" t="s">
        <v>1533</v>
      </c>
      <c r="K1489" s="4" t="s">
        <v>988</v>
      </c>
      <c r="L1489" s="29" t="s">
        <v>977</v>
      </c>
      <c r="M1489" s="90">
        <f t="shared" si="302"/>
        <v>99708.94</v>
      </c>
      <c r="N1489" s="90">
        <f t="shared" si="303"/>
        <v>9064.4500000000007</v>
      </c>
      <c r="O1489" s="90">
        <v>99708.94</v>
      </c>
      <c r="P1489" s="72">
        <v>124750</v>
      </c>
      <c r="Q1489" s="256">
        <f t="shared" si="304"/>
        <v>27445</v>
      </c>
      <c r="R1489" s="256">
        <f t="shared" si="305"/>
        <v>152195</v>
      </c>
      <c r="S1489" s="296"/>
      <c r="T1489" s="3">
        <v>74</v>
      </c>
      <c r="U1489" s="293"/>
    </row>
    <row r="1490" spans="1:21" ht="15" customHeight="1" x14ac:dyDescent="0.35">
      <c r="A1490" s="218" t="s">
        <v>3779</v>
      </c>
      <c r="B1490" s="3">
        <v>1413</v>
      </c>
      <c r="C1490" s="44">
        <v>10088822</v>
      </c>
      <c r="D1490" s="18" t="s">
        <v>1126</v>
      </c>
      <c r="E1490" s="19" t="s">
        <v>2219</v>
      </c>
      <c r="F1490" s="12">
        <v>1</v>
      </c>
      <c r="G1490" s="3" t="s">
        <v>0</v>
      </c>
      <c r="H1490" s="39">
        <v>40909</v>
      </c>
      <c r="I1490" s="27" t="s">
        <v>984</v>
      </c>
      <c r="J1490" s="4" t="s">
        <v>1533</v>
      </c>
      <c r="K1490" s="4" t="s">
        <v>988</v>
      </c>
      <c r="L1490" s="29" t="s">
        <v>977</v>
      </c>
      <c r="M1490" s="90">
        <f t="shared" si="302"/>
        <v>9689.56</v>
      </c>
      <c r="N1490" s="90">
        <f t="shared" si="303"/>
        <v>9689.56</v>
      </c>
      <c r="O1490" s="90">
        <v>9689.56</v>
      </c>
      <c r="P1490" s="72">
        <v>12120</v>
      </c>
      <c r="Q1490" s="256">
        <f t="shared" si="304"/>
        <v>2666.4</v>
      </c>
      <c r="R1490" s="256">
        <f t="shared" si="305"/>
        <v>14786.4</v>
      </c>
      <c r="S1490" s="296"/>
      <c r="T1490" s="3">
        <v>74</v>
      </c>
      <c r="U1490" s="293"/>
    </row>
    <row r="1491" spans="1:21" ht="15" customHeight="1" x14ac:dyDescent="0.35">
      <c r="A1491" s="218" t="s">
        <v>3780</v>
      </c>
      <c r="B1491" s="3">
        <v>1414</v>
      </c>
      <c r="C1491" s="44">
        <v>10088823</v>
      </c>
      <c r="D1491" s="18" t="s">
        <v>1127</v>
      </c>
      <c r="E1491" s="19" t="s">
        <v>2219</v>
      </c>
      <c r="F1491" s="12">
        <v>1</v>
      </c>
      <c r="G1491" s="3" t="s">
        <v>0</v>
      </c>
      <c r="H1491" s="39">
        <v>40909</v>
      </c>
      <c r="I1491" s="27" t="s">
        <v>984</v>
      </c>
      <c r="J1491" s="4" t="s">
        <v>1533</v>
      </c>
      <c r="K1491" s="4" t="s">
        <v>988</v>
      </c>
      <c r="L1491" s="29" t="s">
        <v>977</v>
      </c>
      <c r="M1491" s="90">
        <f t="shared" si="302"/>
        <v>8514.5</v>
      </c>
      <c r="N1491" s="90">
        <f t="shared" si="303"/>
        <v>8514.5</v>
      </c>
      <c r="O1491" s="90">
        <v>8514.5</v>
      </c>
      <c r="P1491" s="72">
        <v>10650</v>
      </c>
      <c r="Q1491" s="256">
        <f t="shared" si="304"/>
        <v>2343</v>
      </c>
      <c r="R1491" s="256">
        <f t="shared" si="305"/>
        <v>12993</v>
      </c>
      <c r="S1491" s="297"/>
      <c r="T1491" s="3">
        <v>74</v>
      </c>
      <c r="U1491" s="293"/>
    </row>
    <row r="1492" spans="1:21" ht="15" customHeight="1" x14ac:dyDescent="0.35">
      <c r="A1492" s="218"/>
      <c r="B1492" s="94"/>
      <c r="C1492" s="44"/>
      <c r="D1492" s="18"/>
      <c r="E1492" s="18"/>
      <c r="F1492" s="12"/>
      <c r="G1492" s="3"/>
      <c r="H1492" s="39"/>
      <c r="I1492" s="27"/>
      <c r="J1492" s="4"/>
      <c r="K1492" s="4"/>
      <c r="L1492" s="29"/>
      <c r="M1492" s="90"/>
      <c r="N1492" s="90"/>
      <c r="O1492" s="110">
        <f>SUM(O1481:O1491)</f>
        <v>4563615.37</v>
      </c>
      <c r="P1492" s="276">
        <f t="shared" ref="P1492:Q1492" si="306">SUM(P1481:P1491)</f>
        <v>5579790</v>
      </c>
      <c r="Q1492" s="282">
        <f t="shared" si="306"/>
        <v>1227553.8</v>
      </c>
      <c r="R1492" s="282">
        <f>SUM(R1481:R1491)</f>
        <v>6807343.7999999998</v>
      </c>
      <c r="S1492" s="286">
        <f>R1492/100*10</f>
        <v>680734.38</v>
      </c>
      <c r="T1492" s="104">
        <v>74</v>
      </c>
      <c r="U1492" s="304"/>
    </row>
    <row r="1493" spans="1:21" ht="76" customHeight="1" x14ac:dyDescent="0.35">
      <c r="A1493" s="218" t="s">
        <v>3781</v>
      </c>
      <c r="B1493" s="254">
        <v>1415</v>
      </c>
      <c r="C1493" s="44">
        <v>10104774</v>
      </c>
      <c r="D1493" s="18" t="s">
        <v>205</v>
      </c>
      <c r="E1493" s="18" t="s">
        <v>4274</v>
      </c>
      <c r="F1493" s="12">
        <v>2</v>
      </c>
      <c r="G1493" s="3" t="s">
        <v>0</v>
      </c>
      <c r="H1493" s="5">
        <v>42004</v>
      </c>
      <c r="I1493" s="38" t="s">
        <v>985</v>
      </c>
      <c r="J1493" s="4" t="s">
        <v>1962</v>
      </c>
      <c r="K1493" s="6" t="s">
        <v>2016</v>
      </c>
      <c r="L1493" s="6" t="s">
        <v>871</v>
      </c>
      <c r="M1493" s="81">
        <f t="shared" si="302"/>
        <v>18478.27</v>
      </c>
      <c r="N1493" s="81">
        <f>O1493/F1493</f>
        <v>9239.14</v>
      </c>
      <c r="O1493" s="81">
        <v>18478.27</v>
      </c>
      <c r="P1493" s="72">
        <v>18630</v>
      </c>
      <c r="Q1493" s="256">
        <f>R1493-P1493</f>
        <v>4098.6000000000004</v>
      </c>
      <c r="R1493" s="256">
        <f>P1493*1.22</f>
        <v>22728.6</v>
      </c>
      <c r="S1493" s="289"/>
      <c r="T1493" s="3">
        <v>75</v>
      </c>
      <c r="U1493" s="292" t="s">
        <v>2342</v>
      </c>
    </row>
    <row r="1494" spans="1:21" ht="35.5" customHeight="1" x14ac:dyDescent="0.35">
      <c r="A1494" s="218" t="s">
        <v>3782</v>
      </c>
      <c r="B1494" s="3">
        <v>1416</v>
      </c>
      <c r="C1494" s="44">
        <v>102014568</v>
      </c>
      <c r="D1494" s="18" t="s">
        <v>271</v>
      </c>
      <c r="E1494" s="19" t="s">
        <v>2028</v>
      </c>
      <c r="F1494" s="12">
        <v>2</v>
      </c>
      <c r="G1494" s="3" t="s">
        <v>0</v>
      </c>
      <c r="H1494" s="49">
        <v>2016</v>
      </c>
      <c r="I1494" s="5" t="s">
        <v>998</v>
      </c>
      <c r="J1494" s="35" t="s">
        <v>2278</v>
      </c>
      <c r="K1494" s="35" t="s">
        <v>271</v>
      </c>
      <c r="L1494" s="6" t="s">
        <v>871</v>
      </c>
      <c r="M1494" s="81">
        <f t="shared" si="302"/>
        <v>123351.32</v>
      </c>
      <c r="N1494" s="81">
        <f>O1494/F1494</f>
        <v>61675.66</v>
      </c>
      <c r="O1494" s="81">
        <v>123351.32</v>
      </c>
      <c r="P1494" s="72">
        <v>110660</v>
      </c>
      <c r="Q1494" s="256">
        <f>R1494-P1494</f>
        <v>24345.200000000001</v>
      </c>
      <c r="R1494" s="256">
        <f>P1494*1.22</f>
        <v>135005.20000000001</v>
      </c>
      <c r="S1494" s="296"/>
      <c r="T1494" s="3">
        <v>75</v>
      </c>
      <c r="U1494" s="293"/>
    </row>
    <row r="1495" spans="1:21" ht="15" customHeight="1" x14ac:dyDescent="0.35">
      <c r="A1495" s="218" t="s">
        <v>3783</v>
      </c>
      <c r="B1495" s="3">
        <v>1417</v>
      </c>
      <c r="C1495" s="45">
        <v>102001370</v>
      </c>
      <c r="D1495" s="15" t="s">
        <v>672</v>
      </c>
      <c r="E1495" s="18" t="s">
        <v>711</v>
      </c>
      <c r="F1495" s="7">
        <v>1</v>
      </c>
      <c r="G1495" s="3" t="s">
        <v>0</v>
      </c>
      <c r="H1495" s="5">
        <v>42004</v>
      </c>
      <c r="I1495" s="30" t="s">
        <v>1003</v>
      </c>
      <c r="J1495" s="4" t="s">
        <v>1962</v>
      </c>
      <c r="K1495" s="14" t="s">
        <v>854</v>
      </c>
      <c r="L1495" s="3" t="s">
        <v>871</v>
      </c>
      <c r="M1495" s="72">
        <f t="shared" si="302"/>
        <v>114350.1</v>
      </c>
      <c r="N1495" s="72">
        <f>O1495/F1495</f>
        <v>114350.1</v>
      </c>
      <c r="O1495" s="72">
        <v>114350.1</v>
      </c>
      <c r="P1495" s="72">
        <v>115310</v>
      </c>
      <c r="Q1495" s="256">
        <f>R1495-P1495</f>
        <v>25368.2</v>
      </c>
      <c r="R1495" s="256">
        <f>P1495*1.22</f>
        <v>140678.20000000001</v>
      </c>
      <c r="S1495" s="296"/>
      <c r="T1495" s="3">
        <v>75</v>
      </c>
      <c r="U1495" s="293"/>
    </row>
    <row r="1496" spans="1:21" ht="15" customHeight="1" x14ac:dyDescent="0.35">
      <c r="A1496" s="218" t="s">
        <v>3784</v>
      </c>
      <c r="B1496" s="254">
        <v>1418</v>
      </c>
      <c r="C1496" s="45">
        <v>102000757</v>
      </c>
      <c r="D1496" s="15" t="s">
        <v>673</v>
      </c>
      <c r="E1496" s="18" t="s">
        <v>711</v>
      </c>
      <c r="F1496" s="7">
        <v>1</v>
      </c>
      <c r="G1496" s="3" t="s">
        <v>0</v>
      </c>
      <c r="H1496" s="5">
        <v>42004</v>
      </c>
      <c r="I1496" s="30" t="s">
        <v>1003</v>
      </c>
      <c r="J1496" s="4" t="s">
        <v>1962</v>
      </c>
      <c r="K1496" s="14" t="s">
        <v>855</v>
      </c>
      <c r="L1496" s="3" t="s">
        <v>871</v>
      </c>
      <c r="M1496" s="72">
        <f t="shared" si="302"/>
        <v>43550.43</v>
      </c>
      <c r="N1496" s="72">
        <f>O1496/F1496</f>
        <v>43550.43</v>
      </c>
      <c r="O1496" s="72">
        <v>43550.43</v>
      </c>
      <c r="P1496" s="72">
        <v>42150</v>
      </c>
      <c r="Q1496" s="256">
        <f>R1496-P1496</f>
        <v>9273</v>
      </c>
      <c r="R1496" s="256">
        <f>P1496*1.22</f>
        <v>51423</v>
      </c>
      <c r="S1496" s="296"/>
      <c r="T1496" s="3">
        <v>75</v>
      </c>
      <c r="U1496" s="293"/>
    </row>
    <row r="1497" spans="1:21" ht="15" customHeight="1" x14ac:dyDescent="0.35">
      <c r="A1497" s="218" t="s">
        <v>3785</v>
      </c>
      <c r="B1497" s="3">
        <v>1419</v>
      </c>
      <c r="C1497" s="19">
        <v>10015416</v>
      </c>
      <c r="D1497" s="19" t="s">
        <v>2300</v>
      </c>
      <c r="E1497" s="18" t="s">
        <v>2213</v>
      </c>
      <c r="F1497" s="12">
        <v>1</v>
      </c>
      <c r="G1497" s="4" t="s">
        <v>0</v>
      </c>
      <c r="H1497" s="6">
        <v>42004</v>
      </c>
      <c r="I1497" s="26" t="s">
        <v>2209</v>
      </c>
      <c r="J1497" s="5" t="s">
        <v>1962</v>
      </c>
      <c r="K1497" s="49" t="s">
        <v>988</v>
      </c>
      <c r="L1497" s="5" t="s">
        <v>2147</v>
      </c>
      <c r="M1497" s="72">
        <f t="shared" si="302"/>
        <v>24178</v>
      </c>
      <c r="N1497" s="72">
        <f>O1497/F1497</f>
        <v>24178</v>
      </c>
      <c r="O1497" s="72">
        <v>24178</v>
      </c>
      <c r="P1497" s="72">
        <v>36150</v>
      </c>
      <c r="Q1497" s="256">
        <f>R1497-P1497</f>
        <v>7953</v>
      </c>
      <c r="R1497" s="256">
        <f>P1497*1.22</f>
        <v>44103</v>
      </c>
      <c r="S1497" s="297"/>
      <c r="T1497" s="3">
        <v>75</v>
      </c>
      <c r="U1497" s="293"/>
    </row>
    <row r="1498" spans="1:21" ht="15" customHeight="1" x14ac:dyDescent="0.35">
      <c r="A1498" s="218"/>
      <c r="B1498" s="94"/>
      <c r="C1498" s="19"/>
      <c r="D1498" s="19"/>
      <c r="E1498" s="18"/>
      <c r="F1498" s="12"/>
      <c r="G1498" s="4"/>
      <c r="H1498" s="6"/>
      <c r="I1498" s="26"/>
      <c r="J1498" s="5"/>
      <c r="K1498" s="49"/>
      <c r="L1498" s="5"/>
      <c r="M1498" s="72"/>
      <c r="N1498" s="72"/>
      <c r="O1498" s="82">
        <f>SUM(O1493:O1497)</f>
        <v>323908.12</v>
      </c>
      <c r="P1498" s="276">
        <f t="shared" ref="P1498:Q1498" si="307">SUM(P1493:P1497)</f>
        <v>322900</v>
      </c>
      <c r="Q1498" s="282">
        <f t="shared" si="307"/>
        <v>71038</v>
      </c>
      <c r="R1498" s="282">
        <f>SUM(R1493:R1497)</f>
        <v>393938</v>
      </c>
      <c r="S1498" s="286">
        <f>R1498/100*10</f>
        <v>39393.800000000003</v>
      </c>
      <c r="T1498" s="104">
        <v>75</v>
      </c>
      <c r="U1498" s="304"/>
    </row>
    <row r="1499" spans="1:21" ht="15" customHeight="1" x14ac:dyDescent="0.35">
      <c r="A1499" s="218" t="s">
        <v>3786</v>
      </c>
      <c r="B1499" s="3">
        <v>1420</v>
      </c>
      <c r="C1499" s="44">
        <v>10095495</v>
      </c>
      <c r="D1499" s="18" t="s">
        <v>1626</v>
      </c>
      <c r="E1499" s="18" t="s">
        <v>2027</v>
      </c>
      <c r="F1499" s="12">
        <v>60</v>
      </c>
      <c r="G1499" s="3" t="s">
        <v>0</v>
      </c>
      <c r="H1499" s="39">
        <v>41375</v>
      </c>
      <c r="I1499" s="27" t="s">
        <v>984</v>
      </c>
      <c r="J1499" s="4" t="s">
        <v>1962</v>
      </c>
      <c r="K1499" s="4" t="s">
        <v>988</v>
      </c>
      <c r="L1499" s="29" t="s">
        <v>977</v>
      </c>
      <c r="M1499" s="78">
        <f t="shared" si="302"/>
        <v>45960</v>
      </c>
      <c r="N1499" s="78">
        <f t="shared" ref="N1499:N1504" si="308">O1499/F1499</f>
        <v>766</v>
      </c>
      <c r="O1499" s="78">
        <v>45960</v>
      </c>
      <c r="P1499" s="72">
        <v>54490</v>
      </c>
      <c r="Q1499" s="256">
        <f t="shared" ref="Q1499:Q1504" si="309">R1499-P1499</f>
        <v>11987.8</v>
      </c>
      <c r="R1499" s="256">
        <f t="shared" ref="R1499:R1504" si="310">P1499*1.22</f>
        <v>66477.8</v>
      </c>
      <c r="S1499" s="289"/>
      <c r="T1499" s="3">
        <v>76</v>
      </c>
      <c r="U1499" s="292" t="s">
        <v>2343</v>
      </c>
    </row>
    <row r="1500" spans="1:21" ht="15" customHeight="1" x14ac:dyDescent="0.35">
      <c r="A1500" s="218" t="s">
        <v>3787</v>
      </c>
      <c r="B1500" s="3">
        <v>1421</v>
      </c>
      <c r="C1500" s="44">
        <v>10108265</v>
      </c>
      <c r="D1500" s="18" t="s">
        <v>1644</v>
      </c>
      <c r="E1500" s="18" t="s">
        <v>2027</v>
      </c>
      <c r="F1500" s="12">
        <v>4</v>
      </c>
      <c r="G1500" s="3" t="s">
        <v>0</v>
      </c>
      <c r="H1500" s="39">
        <v>41577</v>
      </c>
      <c r="I1500" s="27" t="s">
        <v>984</v>
      </c>
      <c r="J1500" s="4" t="s">
        <v>1962</v>
      </c>
      <c r="K1500" s="4" t="s">
        <v>988</v>
      </c>
      <c r="L1500" s="29" t="s">
        <v>977</v>
      </c>
      <c r="M1500" s="78">
        <f t="shared" si="302"/>
        <v>36.520000000000003</v>
      </c>
      <c r="N1500" s="78">
        <f t="shared" si="308"/>
        <v>9.1300000000000008</v>
      </c>
      <c r="O1500" s="78">
        <v>36.520000000000003</v>
      </c>
      <c r="P1500" s="72">
        <v>50</v>
      </c>
      <c r="Q1500" s="256">
        <f t="shared" si="309"/>
        <v>11</v>
      </c>
      <c r="R1500" s="256">
        <f t="shared" si="310"/>
        <v>61</v>
      </c>
      <c r="S1500" s="296"/>
      <c r="T1500" s="3">
        <v>76</v>
      </c>
      <c r="U1500" s="293"/>
    </row>
    <row r="1501" spans="1:21" ht="15.75" customHeight="1" x14ac:dyDescent="0.35">
      <c r="A1501" s="218" t="s">
        <v>3788</v>
      </c>
      <c r="B1501" s="3">
        <v>1422</v>
      </c>
      <c r="C1501" s="44">
        <v>10115561</v>
      </c>
      <c r="D1501" s="18" t="s">
        <v>1757</v>
      </c>
      <c r="E1501" s="18" t="s">
        <v>2027</v>
      </c>
      <c r="F1501" s="12">
        <v>23</v>
      </c>
      <c r="G1501" s="3" t="s">
        <v>17</v>
      </c>
      <c r="H1501" s="39">
        <v>41487</v>
      </c>
      <c r="I1501" s="27" t="s">
        <v>984</v>
      </c>
      <c r="J1501" s="4" t="s">
        <v>1962</v>
      </c>
      <c r="K1501" s="4" t="s">
        <v>988</v>
      </c>
      <c r="L1501" s="29" t="s">
        <v>977</v>
      </c>
      <c r="M1501" s="85">
        <f t="shared" si="302"/>
        <v>4045.46</v>
      </c>
      <c r="N1501" s="85">
        <f t="shared" si="308"/>
        <v>175.89</v>
      </c>
      <c r="O1501" s="78">
        <v>4045.46</v>
      </c>
      <c r="P1501" s="72">
        <v>5100</v>
      </c>
      <c r="Q1501" s="256">
        <f t="shared" si="309"/>
        <v>1122</v>
      </c>
      <c r="R1501" s="256">
        <f t="shared" si="310"/>
        <v>6222</v>
      </c>
      <c r="S1501" s="296"/>
      <c r="T1501" s="3">
        <v>76</v>
      </c>
      <c r="U1501" s="293"/>
    </row>
    <row r="1502" spans="1:21" ht="19.5" customHeight="1" x14ac:dyDescent="0.35">
      <c r="A1502" s="218" t="s">
        <v>3789</v>
      </c>
      <c r="B1502" s="3">
        <v>1423</v>
      </c>
      <c r="C1502" s="44">
        <v>10119320</v>
      </c>
      <c r="D1502" s="18" t="s">
        <v>1772</v>
      </c>
      <c r="E1502" s="18" t="s">
        <v>2027</v>
      </c>
      <c r="F1502" s="12">
        <v>12.9</v>
      </c>
      <c r="G1502" s="3" t="s">
        <v>8</v>
      </c>
      <c r="H1502" s="39">
        <v>41320</v>
      </c>
      <c r="I1502" s="27" t="s">
        <v>984</v>
      </c>
      <c r="J1502" s="4" t="s">
        <v>1962</v>
      </c>
      <c r="K1502" s="4" t="s">
        <v>988</v>
      </c>
      <c r="L1502" s="29" t="s">
        <v>977</v>
      </c>
      <c r="M1502" s="78">
        <f t="shared" si="302"/>
        <v>4878.78</v>
      </c>
      <c r="N1502" s="78">
        <f t="shared" si="308"/>
        <v>378.2</v>
      </c>
      <c r="O1502" s="78">
        <v>4878.78</v>
      </c>
      <c r="P1502" s="72">
        <v>6360</v>
      </c>
      <c r="Q1502" s="256">
        <f t="shared" si="309"/>
        <v>1399.2</v>
      </c>
      <c r="R1502" s="256">
        <f t="shared" si="310"/>
        <v>7759.2</v>
      </c>
      <c r="S1502" s="296"/>
      <c r="T1502" s="3">
        <v>76</v>
      </c>
      <c r="U1502" s="293"/>
    </row>
    <row r="1503" spans="1:21" ht="15" customHeight="1" x14ac:dyDescent="0.35">
      <c r="A1503" s="218" t="s">
        <v>3790</v>
      </c>
      <c r="B1503" s="3">
        <v>1424</v>
      </c>
      <c r="C1503" s="44">
        <v>10150198</v>
      </c>
      <c r="D1503" s="18" t="s">
        <v>1787</v>
      </c>
      <c r="E1503" s="18" t="s">
        <v>2228</v>
      </c>
      <c r="F1503" s="12">
        <v>185.5</v>
      </c>
      <c r="G1503" s="3" t="s">
        <v>8</v>
      </c>
      <c r="H1503" s="39">
        <v>41607</v>
      </c>
      <c r="I1503" s="27" t="s">
        <v>984</v>
      </c>
      <c r="J1503" s="4" t="s">
        <v>1962</v>
      </c>
      <c r="K1503" s="4" t="s">
        <v>988</v>
      </c>
      <c r="L1503" s="29" t="s">
        <v>977</v>
      </c>
      <c r="M1503" s="78">
        <f t="shared" si="302"/>
        <v>16923.16</v>
      </c>
      <c r="N1503" s="78">
        <f t="shared" si="308"/>
        <v>91.23</v>
      </c>
      <c r="O1503" s="78">
        <v>16923.16</v>
      </c>
      <c r="P1503" s="72">
        <v>25130</v>
      </c>
      <c r="Q1503" s="256">
        <f t="shared" si="309"/>
        <v>5528.6</v>
      </c>
      <c r="R1503" s="256">
        <f t="shared" si="310"/>
        <v>30658.6</v>
      </c>
      <c r="S1503" s="296"/>
      <c r="T1503" s="3">
        <v>76</v>
      </c>
      <c r="U1503" s="293"/>
    </row>
    <row r="1504" spans="1:21" ht="15" customHeight="1" x14ac:dyDescent="0.35">
      <c r="A1504" s="218" t="s">
        <v>3791</v>
      </c>
      <c r="B1504" s="3">
        <v>1425</v>
      </c>
      <c r="C1504" s="65">
        <v>10145028</v>
      </c>
      <c r="D1504" s="8" t="s">
        <v>1438</v>
      </c>
      <c r="E1504" s="19" t="s">
        <v>2219</v>
      </c>
      <c r="F1504" s="92">
        <v>30</v>
      </c>
      <c r="G1504" s="3" t="s">
        <v>0</v>
      </c>
      <c r="H1504" s="40">
        <v>41365</v>
      </c>
      <c r="I1504" s="27" t="s">
        <v>984</v>
      </c>
      <c r="J1504" s="4" t="s">
        <v>1962</v>
      </c>
      <c r="K1504" s="4" t="s">
        <v>988</v>
      </c>
      <c r="L1504" s="29" t="s">
        <v>977</v>
      </c>
      <c r="M1504" s="78">
        <f t="shared" si="302"/>
        <v>40140</v>
      </c>
      <c r="N1504" s="78">
        <f t="shared" si="308"/>
        <v>1338</v>
      </c>
      <c r="O1504" s="78">
        <v>40140</v>
      </c>
      <c r="P1504" s="72">
        <v>47590</v>
      </c>
      <c r="Q1504" s="256">
        <f t="shared" si="309"/>
        <v>10469.799999999999</v>
      </c>
      <c r="R1504" s="256">
        <f t="shared" si="310"/>
        <v>58059.8</v>
      </c>
      <c r="S1504" s="297"/>
      <c r="T1504" s="3">
        <v>76</v>
      </c>
      <c r="U1504" s="293"/>
    </row>
    <row r="1505" spans="1:21" ht="15" customHeight="1" x14ac:dyDescent="0.35">
      <c r="A1505" s="218"/>
      <c r="B1505" s="94"/>
      <c r="C1505" s="65"/>
      <c r="D1505" s="8"/>
      <c r="E1505" s="19"/>
      <c r="F1505" s="92"/>
      <c r="G1505" s="3"/>
      <c r="H1505" s="40"/>
      <c r="I1505" s="27"/>
      <c r="J1505" s="4"/>
      <c r="K1505" s="4"/>
      <c r="L1505" s="29"/>
      <c r="M1505" s="78"/>
      <c r="N1505" s="78"/>
      <c r="O1505" s="108">
        <f>SUM(O1499:O1504)</f>
        <v>111983.92</v>
      </c>
      <c r="P1505" s="276">
        <f t="shared" ref="P1505:Q1505" si="311">SUM(P1499:P1504)</f>
        <v>138720</v>
      </c>
      <c r="Q1505" s="282">
        <f t="shared" si="311"/>
        <v>30518.400000000001</v>
      </c>
      <c r="R1505" s="282">
        <f>SUM(R1499:R1504)</f>
        <v>169238.39999999999</v>
      </c>
      <c r="S1505" s="286">
        <f>R1505/100*10</f>
        <v>16923.84</v>
      </c>
      <c r="T1505" s="104">
        <v>76</v>
      </c>
      <c r="U1505" s="304"/>
    </row>
    <row r="1506" spans="1:21" ht="15" customHeight="1" x14ac:dyDescent="0.35">
      <c r="A1506" s="221" t="s">
        <v>3792</v>
      </c>
      <c r="B1506" s="62">
        <v>1426</v>
      </c>
      <c r="C1506" s="157">
        <v>10128911</v>
      </c>
      <c r="D1506" s="158" t="s">
        <v>874</v>
      </c>
      <c r="E1506" s="48" t="s">
        <v>2197</v>
      </c>
      <c r="F1506" s="159">
        <v>200</v>
      </c>
      <c r="G1506" s="62" t="s">
        <v>0</v>
      </c>
      <c r="H1506" s="160">
        <v>42388</v>
      </c>
      <c r="I1506" s="51" t="s">
        <v>999</v>
      </c>
      <c r="J1506" s="51" t="s">
        <v>1962</v>
      </c>
      <c r="K1506" s="51" t="s">
        <v>988</v>
      </c>
      <c r="L1506" s="61" t="s">
        <v>871</v>
      </c>
      <c r="M1506" s="161">
        <f t="shared" si="302"/>
        <v>6007.48</v>
      </c>
      <c r="N1506" s="161">
        <f>O1506/F1506</f>
        <v>30.04</v>
      </c>
      <c r="O1506" s="161">
        <v>6007.48</v>
      </c>
      <c r="P1506" s="72">
        <v>3820</v>
      </c>
      <c r="Q1506" s="256">
        <f>R1506-P1506</f>
        <v>840.4</v>
      </c>
      <c r="R1506" s="256">
        <f>P1506*1.22</f>
        <v>4660.3999999999996</v>
      </c>
      <c r="S1506" s="289"/>
      <c r="T1506" s="62">
        <v>77</v>
      </c>
      <c r="U1506" s="292" t="s">
        <v>2343</v>
      </c>
    </row>
    <row r="1507" spans="1:21" ht="15" customHeight="1" x14ac:dyDescent="0.35">
      <c r="A1507" s="221" t="s">
        <v>3793</v>
      </c>
      <c r="B1507" s="62">
        <v>1427</v>
      </c>
      <c r="C1507" s="48">
        <v>10108047</v>
      </c>
      <c r="D1507" s="48" t="s">
        <v>2184</v>
      </c>
      <c r="E1507" s="48" t="s">
        <v>2197</v>
      </c>
      <c r="F1507" s="53">
        <v>3</v>
      </c>
      <c r="G1507" s="62" t="s">
        <v>17</v>
      </c>
      <c r="H1507" s="62">
        <v>2008</v>
      </c>
      <c r="I1507" s="163" t="s">
        <v>999</v>
      </c>
      <c r="J1507" s="51" t="s">
        <v>1962</v>
      </c>
      <c r="K1507" s="51" t="s">
        <v>988</v>
      </c>
      <c r="L1507" s="61" t="s">
        <v>871</v>
      </c>
      <c r="M1507" s="161">
        <f t="shared" si="302"/>
        <v>72.33</v>
      </c>
      <c r="N1507" s="161">
        <f>O1507/F1507</f>
        <v>24.11</v>
      </c>
      <c r="O1507" s="161">
        <v>72.33</v>
      </c>
      <c r="P1507" s="72">
        <v>60</v>
      </c>
      <c r="Q1507" s="256">
        <f>R1507-P1507</f>
        <v>13.2</v>
      </c>
      <c r="R1507" s="256">
        <f>P1507*1.22</f>
        <v>73.2</v>
      </c>
      <c r="S1507" s="296"/>
      <c r="T1507" s="62">
        <v>77</v>
      </c>
      <c r="U1507" s="293"/>
    </row>
    <row r="1508" spans="1:21" ht="15" customHeight="1" x14ac:dyDescent="0.35">
      <c r="A1508" s="221" t="s">
        <v>3794</v>
      </c>
      <c r="B1508" s="62">
        <v>1428</v>
      </c>
      <c r="C1508" s="48">
        <v>10136117</v>
      </c>
      <c r="D1508" s="48" t="s">
        <v>2185</v>
      </c>
      <c r="E1508" s="48" t="s">
        <v>2197</v>
      </c>
      <c r="F1508" s="53">
        <v>1</v>
      </c>
      <c r="G1508" s="62" t="s">
        <v>17</v>
      </c>
      <c r="H1508" s="62">
        <v>2008</v>
      </c>
      <c r="I1508" s="163" t="s">
        <v>999</v>
      </c>
      <c r="J1508" s="51" t="s">
        <v>1962</v>
      </c>
      <c r="K1508" s="51" t="s">
        <v>988</v>
      </c>
      <c r="L1508" s="61" t="s">
        <v>871</v>
      </c>
      <c r="M1508" s="161">
        <f t="shared" si="302"/>
        <v>28.58</v>
      </c>
      <c r="N1508" s="161">
        <f>O1508/F1508</f>
        <v>28.58</v>
      </c>
      <c r="O1508" s="161">
        <v>28.58</v>
      </c>
      <c r="P1508" s="72">
        <v>30</v>
      </c>
      <c r="Q1508" s="256">
        <f>R1508-P1508</f>
        <v>6.6</v>
      </c>
      <c r="R1508" s="256">
        <f>P1508*1.22</f>
        <v>36.6</v>
      </c>
      <c r="S1508" s="296"/>
      <c r="T1508" s="62">
        <v>77</v>
      </c>
      <c r="U1508" s="293"/>
    </row>
    <row r="1509" spans="1:21" s="143" customFormat="1" ht="15" customHeight="1" x14ac:dyDescent="0.35">
      <c r="A1509" s="221" t="s">
        <v>3795</v>
      </c>
      <c r="B1509" s="62">
        <v>1429</v>
      </c>
      <c r="C1509" s="48">
        <v>10002832</v>
      </c>
      <c r="D1509" s="48" t="s">
        <v>2187</v>
      </c>
      <c r="E1509" s="48" t="s">
        <v>2197</v>
      </c>
      <c r="F1509" s="53">
        <v>20.3</v>
      </c>
      <c r="G1509" s="62" t="s">
        <v>8</v>
      </c>
      <c r="H1509" s="62">
        <v>2008</v>
      </c>
      <c r="I1509" s="62" t="s">
        <v>999</v>
      </c>
      <c r="J1509" s="51" t="s">
        <v>1962</v>
      </c>
      <c r="K1509" s="51" t="s">
        <v>988</v>
      </c>
      <c r="L1509" s="61" t="s">
        <v>871</v>
      </c>
      <c r="M1509" s="161">
        <f t="shared" si="302"/>
        <v>4843.17</v>
      </c>
      <c r="N1509" s="161">
        <f>O1509/F1509</f>
        <v>238.58</v>
      </c>
      <c r="O1509" s="164">
        <v>4843.17</v>
      </c>
      <c r="P1509" s="72">
        <v>5320</v>
      </c>
      <c r="Q1509" s="256">
        <f>R1509-P1509</f>
        <v>1170.4000000000001</v>
      </c>
      <c r="R1509" s="256">
        <f>P1509*1.22</f>
        <v>6490.4</v>
      </c>
      <c r="S1509" s="297"/>
      <c r="T1509" s="62">
        <v>77</v>
      </c>
      <c r="U1509" s="293"/>
    </row>
    <row r="1510" spans="1:21" ht="15" customHeight="1" x14ac:dyDescent="0.35">
      <c r="A1510" s="218"/>
      <c r="B1510" s="94"/>
      <c r="C1510" s="18"/>
      <c r="D1510" s="18"/>
      <c r="E1510" s="18"/>
      <c r="F1510" s="12"/>
      <c r="G1510" s="3"/>
      <c r="H1510" s="3"/>
      <c r="I1510" s="13"/>
      <c r="J1510" s="4"/>
      <c r="K1510" s="4"/>
      <c r="L1510" s="5"/>
      <c r="M1510" s="72"/>
      <c r="N1510" s="72"/>
      <c r="O1510" s="82">
        <f>SUM(O1506:O1509)</f>
        <v>10951.56</v>
      </c>
      <c r="P1510" s="276">
        <f t="shared" ref="P1510:Q1510" si="312">SUM(P1506:P1509)</f>
        <v>9230</v>
      </c>
      <c r="Q1510" s="282">
        <f t="shared" si="312"/>
        <v>2030.6</v>
      </c>
      <c r="R1510" s="282">
        <f>SUM(R1506:R1509)</f>
        <v>11260.6</v>
      </c>
      <c r="S1510" s="286">
        <f>R1510/100*10</f>
        <v>1126.06</v>
      </c>
      <c r="T1510" s="104">
        <v>77</v>
      </c>
      <c r="U1510" s="304"/>
    </row>
    <row r="1511" spans="1:21" ht="15" customHeight="1" x14ac:dyDescent="0.35">
      <c r="A1511" s="218" t="s">
        <v>3796</v>
      </c>
      <c r="B1511" s="3">
        <v>1430</v>
      </c>
      <c r="C1511" s="44">
        <v>102012388</v>
      </c>
      <c r="D1511" s="18" t="s">
        <v>1528</v>
      </c>
      <c r="E1511" s="19" t="s">
        <v>2219</v>
      </c>
      <c r="F1511" s="12">
        <v>12</v>
      </c>
      <c r="G1511" s="3" t="s">
        <v>8</v>
      </c>
      <c r="H1511" s="39">
        <v>41640</v>
      </c>
      <c r="I1511" s="27" t="s">
        <v>984</v>
      </c>
      <c r="J1511" s="4" t="s">
        <v>1962</v>
      </c>
      <c r="K1511" s="4" t="s">
        <v>988</v>
      </c>
      <c r="L1511" s="29" t="s">
        <v>977</v>
      </c>
      <c r="M1511" s="78">
        <f t="shared" si="302"/>
        <v>9216</v>
      </c>
      <c r="N1511" s="78">
        <f>O1511/F1511</f>
        <v>768</v>
      </c>
      <c r="O1511" s="78">
        <v>9216</v>
      </c>
      <c r="P1511" s="72">
        <v>13400</v>
      </c>
      <c r="Q1511" s="256">
        <f t="shared" ref="Q1511:Q1524" si="313">R1511-P1511</f>
        <v>2948</v>
      </c>
      <c r="R1511" s="256">
        <f t="shared" ref="R1511:R1524" si="314">P1511*1.22</f>
        <v>16348</v>
      </c>
      <c r="S1511" s="289"/>
      <c r="T1511" s="3">
        <v>78</v>
      </c>
      <c r="U1511" s="292" t="s">
        <v>2363</v>
      </c>
    </row>
    <row r="1512" spans="1:21" ht="17.25" customHeight="1" x14ac:dyDescent="0.35">
      <c r="A1512" s="218" t="s">
        <v>3797</v>
      </c>
      <c r="B1512" s="3">
        <v>1431</v>
      </c>
      <c r="C1512" s="44">
        <v>10152571</v>
      </c>
      <c r="D1512" s="18" t="s">
        <v>1529</v>
      </c>
      <c r="E1512" s="19" t="s">
        <v>2219</v>
      </c>
      <c r="F1512" s="12">
        <v>500</v>
      </c>
      <c r="G1512" s="3" t="s">
        <v>8</v>
      </c>
      <c r="H1512" s="39">
        <v>41851</v>
      </c>
      <c r="I1512" s="27" t="s">
        <v>984</v>
      </c>
      <c r="J1512" s="4" t="s">
        <v>2274</v>
      </c>
      <c r="K1512" s="4" t="s">
        <v>988</v>
      </c>
      <c r="L1512" s="29" t="s">
        <v>977</v>
      </c>
      <c r="M1512" s="78">
        <f t="shared" si="302"/>
        <v>171315</v>
      </c>
      <c r="N1512" s="78">
        <f>O1512/F1512</f>
        <v>342.63</v>
      </c>
      <c r="O1512" s="78">
        <v>171315</v>
      </c>
      <c r="P1512" s="72">
        <v>234800</v>
      </c>
      <c r="Q1512" s="256">
        <f t="shared" si="313"/>
        <v>51656</v>
      </c>
      <c r="R1512" s="256">
        <f t="shared" si="314"/>
        <v>286456</v>
      </c>
      <c r="S1512" s="296"/>
      <c r="T1512" s="3">
        <v>78</v>
      </c>
      <c r="U1512" s="293"/>
    </row>
    <row r="1513" spans="1:21" ht="34.5" customHeight="1" x14ac:dyDescent="0.35">
      <c r="A1513" s="218" t="s">
        <v>3798</v>
      </c>
      <c r="B1513" s="3">
        <v>1432</v>
      </c>
      <c r="C1513" s="44">
        <v>10152532</v>
      </c>
      <c r="D1513" s="18" t="s">
        <v>1530</v>
      </c>
      <c r="E1513" s="19" t="s">
        <v>2219</v>
      </c>
      <c r="F1513" s="12">
        <v>195</v>
      </c>
      <c r="G1513" s="3" t="s">
        <v>8</v>
      </c>
      <c r="H1513" s="39">
        <v>42093</v>
      </c>
      <c r="I1513" s="27" t="s">
        <v>984</v>
      </c>
      <c r="J1513" s="4" t="s">
        <v>2275</v>
      </c>
      <c r="K1513" s="4" t="s">
        <v>988</v>
      </c>
      <c r="L1513" s="29" t="s">
        <v>977</v>
      </c>
      <c r="M1513" s="78">
        <f t="shared" si="302"/>
        <v>80925</v>
      </c>
      <c r="N1513" s="78">
        <f>O1513/F1513</f>
        <v>415</v>
      </c>
      <c r="O1513" s="78">
        <v>80925</v>
      </c>
      <c r="P1513" s="72">
        <v>93130</v>
      </c>
      <c r="Q1513" s="256">
        <f t="shared" si="313"/>
        <v>20488.599999999999</v>
      </c>
      <c r="R1513" s="256">
        <f t="shared" si="314"/>
        <v>113618.6</v>
      </c>
      <c r="S1513" s="296"/>
      <c r="T1513" s="3">
        <v>78</v>
      </c>
      <c r="U1513" s="293"/>
    </row>
    <row r="1514" spans="1:21" ht="32.25" customHeight="1" x14ac:dyDescent="0.35">
      <c r="A1514" s="218" t="s">
        <v>3799</v>
      </c>
      <c r="B1514" s="3">
        <v>1433</v>
      </c>
      <c r="C1514" s="44">
        <v>10100729</v>
      </c>
      <c r="D1514" s="18" t="s">
        <v>1570</v>
      </c>
      <c r="E1514" s="18" t="s">
        <v>2027</v>
      </c>
      <c r="F1514" s="12">
        <v>4</v>
      </c>
      <c r="G1514" s="3" t="s">
        <v>0</v>
      </c>
      <c r="H1514" s="39">
        <v>40179</v>
      </c>
      <c r="I1514" s="27" t="s">
        <v>984</v>
      </c>
      <c r="J1514" s="4" t="s">
        <v>1962</v>
      </c>
      <c r="K1514" s="4" t="s">
        <v>988</v>
      </c>
      <c r="L1514" s="29" t="s">
        <v>977</v>
      </c>
      <c r="M1514" s="78">
        <v>1800</v>
      </c>
      <c r="N1514" s="78">
        <v>450</v>
      </c>
      <c r="O1514" s="78">
        <v>1800</v>
      </c>
      <c r="P1514" s="72">
        <v>3190</v>
      </c>
      <c r="Q1514" s="256">
        <f t="shared" si="313"/>
        <v>701.8</v>
      </c>
      <c r="R1514" s="256">
        <f t="shared" si="314"/>
        <v>3891.8</v>
      </c>
      <c r="S1514" s="296"/>
      <c r="T1514" s="3">
        <v>78</v>
      </c>
      <c r="U1514" s="293"/>
    </row>
    <row r="1515" spans="1:21" ht="32.25" customHeight="1" x14ac:dyDescent="0.35">
      <c r="A1515" s="218" t="s">
        <v>3800</v>
      </c>
      <c r="B1515" s="3">
        <v>1434</v>
      </c>
      <c r="C1515" s="44">
        <v>10100763</v>
      </c>
      <c r="D1515" s="18" t="s">
        <v>1579</v>
      </c>
      <c r="E1515" s="18" t="s">
        <v>2027</v>
      </c>
      <c r="F1515" s="12">
        <v>200</v>
      </c>
      <c r="G1515" s="3" t="s">
        <v>0</v>
      </c>
      <c r="H1515" s="39">
        <v>40017</v>
      </c>
      <c r="I1515" s="27" t="s">
        <v>984</v>
      </c>
      <c r="J1515" s="4" t="s">
        <v>1962</v>
      </c>
      <c r="K1515" s="4" t="s">
        <v>988</v>
      </c>
      <c r="L1515" s="29" t="s">
        <v>977</v>
      </c>
      <c r="M1515" s="78">
        <f t="shared" ref="M1515:M1572" si="315">O1515</f>
        <v>24368.42</v>
      </c>
      <c r="N1515" s="78">
        <f t="shared" ref="N1515:N1524" si="316">O1515/F1515</f>
        <v>121.84</v>
      </c>
      <c r="O1515" s="78">
        <v>24368.42</v>
      </c>
      <c r="P1515" s="72">
        <v>41930</v>
      </c>
      <c r="Q1515" s="256">
        <f t="shared" si="313"/>
        <v>9224.6</v>
      </c>
      <c r="R1515" s="256">
        <f t="shared" si="314"/>
        <v>51154.6</v>
      </c>
      <c r="S1515" s="296"/>
      <c r="T1515" s="3">
        <v>78</v>
      </c>
      <c r="U1515" s="293"/>
    </row>
    <row r="1516" spans="1:21" ht="17.25" customHeight="1" x14ac:dyDescent="0.35">
      <c r="A1516" s="218" t="s">
        <v>3801</v>
      </c>
      <c r="B1516" s="3">
        <v>1435</v>
      </c>
      <c r="C1516" s="44">
        <v>10100742</v>
      </c>
      <c r="D1516" s="18" t="s">
        <v>1666</v>
      </c>
      <c r="E1516" s="18" t="s">
        <v>2027</v>
      </c>
      <c r="F1516" s="12">
        <v>54</v>
      </c>
      <c r="G1516" s="3" t="s">
        <v>0</v>
      </c>
      <c r="H1516" s="39">
        <v>39814</v>
      </c>
      <c r="I1516" s="27" t="s">
        <v>984</v>
      </c>
      <c r="J1516" s="4" t="s">
        <v>1962</v>
      </c>
      <c r="K1516" s="4" t="s">
        <v>988</v>
      </c>
      <c r="L1516" s="29" t="s">
        <v>977</v>
      </c>
      <c r="M1516" s="78">
        <f t="shared" si="315"/>
        <v>30900</v>
      </c>
      <c r="N1516" s="78">
        <f t="shared" si="316"/>
        <v>572.22</v>
      </c>
      <c r="O1516" s="78">
        <v>30900</v>
      </c>
      <c r="P1516" s="72">
        <v>55050</v>
      </c>
      <c r="Q1516" s="256">
        <f t="shared" si="313"/>
        <v>12111</v>
      </c>
      <c r="R1516" s="256">
        <f t="shared" si="314"/>
        <v>67161</v>
      </c>
      <c r="S1516" s="296"/>
      <c r="T1516" s="3">
        <v>78</v>
      </c>
      <c r="U1516" s="293"/>
    </row>
    <row r="1517" spans="1:21" ht="17.25" customHeight="1" x14ac:dyDescent="0.35">
      <c r="A1517" s="218" t="s">
        <v>3802</v>
      </c>
      <c r="B1517" s="3">
        <v>1436</v>
      </c>
      <c r="C1517" s="44">
        <v>10026762</v>
      </c>
      <c r="D1517" s="18" t="s">
        <v>1694</v>
      </c>
      <c r="E1517" s="18" t="s">
        <v>2027</v>
      </c>
      <c r="F1517" s="12">
        <v>60</v>
      </c>
      <c r="G1517" s="3" t="s">
        <v>0</v>
      </c>
      <c r="H1517" s="39">
        <v>40909</v>
      </c>
      <c r="I1517" s="27" t="s">
        <v>984</v>
      </c>
      <c r="J1517" s="4" t="s">
        <v>1991</v>
      </c>
      <c r="K1517" s="4" t="s">
        <v>988</v>
      </c>
      <c r="L1517" s="29" t="s">
        <v>977</v>
      </c>
      <c r="M1517" s="78">
        <f t="shared" si="315"/>
        <v>23490.6</v>
      </c>
      <c r="N1517" s="78">
        <f t="shared" si="316"/>
        <v>391.51</v>
      </c>
      <c r="O1517" s="78">
        <v>23490.6</v>
      </c>
      <c r="P1517" s="72">
        <v>36240</v>
      </c>
      <c r="Q1517" s="256">
        <f t="shared" si="313"/>
        <v>7972.8</v>
      </c>
      <c r="R1517" s="256">
        <f t="shared" si="314"/>
        <v>44212.800000000003</v>
      </c>
      <c r="S1517" s="296"/>
      <c r="T1517" s="3">
        <v>78</v>
      </c>
      <c r="U1517" s="293"/>
    </row>
    <row r="1518" spans="1:21" ht="15" customHeight="1" x14ac:dyDescent="0.35">
      <c r="A1518" s="218" t="s">
        <v>3803</v>
      </c>
      <c r="B1518" s="3">
        <v>1437</v>
      </c>
      <c r="C1518" s="44">
        <v>10036872</v>
      </c>
      <c r="D1518" s="18" t="s">
        <v>1695</v>
      </c>
      <c r="E1518" s="18" t="s">
        <v>2027</v>
      </c>
      <c r="F1518" s="12">
        <v>130</v>
      </c>
      <c r="G1518" s="3" t="s">
        <v>0</v>
      </c>
      <c r="H1518" s="39">
        <v>41275</v>
      </c>
      <c r="I1518" s="27" t="s">
        <v>984</v>
      </c>
      <c r="J1518" s="4" t="s">
        <v>1990</v>
      </c>
      <c r="K1518" s="4" t="s">
        <v>988</v>
      </c>
      <c r="L1518" s="29" t="s">
        <v>977</v>
      </c>
      <c r="M1518" s="78">
        <f t="shared" si="315"/>
        <v>74380.800000000003</v>
      </c>
      <c r="N1518" s="78">
        <f t="shared" si="316"/>
        <v>572.16</v>
      </c>
      <c r="O1518" s="78">
        <v>74380.800000000003</v>
      </c>
      <c r="P1518" s="72">
        <v>110630</v>
      </c>
      <c r="Q1518" s="256">
        <f t="shared" si="313"/>
        <v>24338.6</v>
      </c>
      <c r="R1518" s="256">
        <f t="shared" si="314"/>
        <v>134968.6</v>
      </c>
      <c r="S1518" s="296"/>
      <c r="T1518" s="3">
        <v>78</v>
      </c>
      <c r="U1518" s="293"/>
    </row>
    <row r="1519" spans="1:21" ht="15" customHeight="1" x14ac:dyDescent="0.35">
      <c r="A1519" s="218" t="s">
        <v>3804</v>
      </c>
      <c r="B1519" s="3">
        <v>1438</v>
      </c>
      <c r="C1519" s="44">
        <v>10012146</v>
      </c>
      <c r="D1519" s="18" t="s">
        <v>1696</v>
      </c>
      <c r="E1519" s="18" t="s">
        <v>2027</v>
      </c>
      <c r="F1519" s="12">
        <v>1</v>
      </c>
      <c r="G1519" s="3" t="s">
        <v>0</v>
      </c>
      <c r="H1519" s="39">
        <v>40909</v>
      </c>
      <c r="I1519" s="27" t="s">
        <v>984</v>
      </c>
      <c r="J1519" s="4" t="s">
        <v>1972</v>
      </c>
      <c r="K1519" s="4" t="s">
        <v>988</v>
      </c>
      <c r="L1519" s="29" t="s">
        <v>977</v>
      </c>
      <c r="M1519" s="78">
        <f t="shared" si="315"/>
        <v>1308.6500000000001</v>
      </c>
      <c r="N1519" s="78">
        <f t="shared" si="316"/>
        <v>1308.6500000000001</v>
      </c>
      <c r="O1519" s="78">
        <v>1308.6500000000001</v>
      </c>
      <c r="P1519" s="72">
        <v>2020</v>
      </c>
      <c r="Q1519" s="256">
        <f t="shared" si="313"/>
        <v>444.4</v>
      </c>
      <c r="R1519" s="256">
        <f t="shared" si="314"/>
        <v>2464.4</v>
      </c>
      <c r="S1519" s="296"/>
      <c r="T1519" s="3">
        <v>78</v>
      </c>
      <c r="U1519" s="293"/>
    </row>
    <row r="1520" spans="1:21" ht="15" customHeight="1" x14ac:dyDescent="0.35">
      <c r="A1520" s="218" t="s">
        <v>3805</v>
      </c>
      <c r="B1520" s="3">
        <v>1439</v>
      </c>
      <c r="C1520" s="44">
        <v>10134456</v>
      </c>
      <c r="D1520" s="18" t="s">
        <v>1701</v>
      </c>
      <c r="E1520" s="18" t="s">
        <v>2027</v>
      </c>
      <c r="F1520" s="12">
        <v>7</v>
      </c>
      <c r="G1520" s="3" t="s">
        <v>0</v>
      </c>
      <c r="H1520" s="39">
        <v>41263</v>
      </c>
      <c r="I1520" s="27" t="s">
        <v>984</v>
      </c>
      <c r="J1520" s="4" t="s">
        <v>1962</v>
      </c>
      <c r="K1520" s="4" t="s">
        <v>988</v>
      </c>
      <c r="L1520" s="29" t="s">
        <v>977</v>
      </c>
      <c r="M1520" s="78">
        <f t="shared" si="315"/>
        <v>24292.38</v>
      </c>
      <c r="N1520" s="78">
        <f t="shared" si="316"/>
        <v>3470.34</v>
      </c>
      <c r="O1520" s="78">
        <v>24292.38</v>
      </c>
      <c r="P1520" s="72">
        <v>36740</v>
      </c>
      <c r="Q1520" s="256">
        <f t="shared" si="313"/>
        <v>8082.8</v>
      </c>
      <c r="R1520" s="256">
        <f t="shared" si="314"/>
        <v>44822.8</v>
      </c>
      <c r="S1520" s="296"/>
      <c r="T1520" s="3">
        <v>78</v>
      </c>
      <c r="U1520" s="293"/>
    </row>
    <row r="1521" spans="1:21" ht="15" customHeight="1" x14ac:dyDescent="0.35">
      <c r="A1521" s="218" t="s">
        <v>3806</v>
      </c>
      <c r="B1521" s="3">
        <v>1440</v>
      </c>
      <c r="C1521" s="44">
        <v>10100844</v>
      </c>
      <c r="D1521" s="18" t="s">
        <v>1727</v>
      </c>
      <c r="E1521" s="18" t="s">
        <v>2027</v>
      </c>
      <c r="F1521" s="12">
        <v>80</v>
      </c>
      <c r="G1521" s="3" t="s">
        <v>0</v>
      </c>
      <c r="H1521" s="39">
        <v>41431</v>
      </c>
      <c r="I1521" s="27" t="s">
        <v>984</v>
      </c>
      <c r="J1521" s="4" t="s">
        <v>1962</v>
      </c>
      <c r="K1521" s="4" t="s">
        <v>988</v>
      </c>
      <c r="L1521" s="29" t="s">
        <v>977</v>
      </c>
      <c r="M1521" s="78">
        <f t="shared" si="315"/>
        <v>11167.57</v>
      </c>
      <c r="N1521" s="78">
        <f t="shared" si="316"/>
        <v>139.59</v>
      </c>
      <c r="O1521" s="78">
        <v>11167.57</v>
      </c>
      <c r="P1521" s="72">
        <v>16590</v>
      </c>
      <c r="Q1521" s="256">
        <f t="shared" si="313"/>
        <v>3649.8</v>
      </c>
      <c r="R1521" s="256">
        <f t="shared" si="314"/>
        <v>20239.8</v>
      </c>
      <c r="S1521" s="296"/>
      <c r="T1521" s="3">
        <v>78</v>
      </c>
      <c r="U1521" s="293"/>
    </row>
    <row r="1522" spans="1:21" ht="15" customHeight="1" x14ac:dyDescent="0.35">
      <c r="A1522" s="218" t="s">
        <v>3807</v>
      </c>
      <c r="B1522" s="3">
        <v>1441</v>
      </c>
      <c r="C1522" s="44">
        <v>10017596</v>
      </c>
      <c r="D1522" s="18" t="s">
        <v>1867</v>
      </c>
      <c r="E1522" s="19" t="s">
        <v>2219</v>
      </c>
      <c r="F1522" s="12">
        <f>139-2</f>
        <v>137</v>
      </c>
      <c r="G1522" s="3" t="s">
        <v>0</v>
      </c>
      <c r="H1522" s="39">
        <v>42004</v>
      </c>
      <c r="I1522" s="27" t="s">
        <v>984</v>
      </c>
      <c r="J1522" s="4" t="s">
        <v>1962</v>
      </c>
      <c r="K1522" s="4" t="s">
        <v>988</v>
      </c>
      <c r="L1522" s="29" t="s">
        <v>977</v>
      </c>
      <c r="M1522" s="78">
        <f t="shared" si="315"/>
        <v>59442.07</v>
      </c>
      <c r="N1522" s="78">
        <f t="shared" si="316"/>
        <v>433.88</v>
      </c>
      <c r="O1522" s="78">
        <f>60309.84/139*137</f>
        <v>59442.07</v>
      </c>
      <c r="P1522" s="72">
        <v>71590</v>
      </c>
      <c r="Q1522" s="256">
        <f t="shared" si="313"/>
        <v>15749.8</v>
      </c>
      <c r="R1522" s="256">
        <f t="shared" si="314"/>
        <v>87339.8</v>
      </c>
      <c r="S1522" s="296"/>
      <c r="T1522" s="3">
        <v>78</v>
      </c>
      <c r="U1522" s="293"/>
    </row>
    <row r="1523" spans="1:21" ht="15" customHeight="1" x14ac:dyDescent="0.35">
      <c r="A1523" s="218" t="s">
        <v>3808</v>
      </c>
      <c r="B1523" s="3">
        <v>1442</v>
      </c>
      <c r="C1523" s="65">
        <v>10149102</v>
      </c>
      <c r="D1523" s="8" t="s">
        <v>1437</v>
      </c>
      <c r="E1523" s="19" t="s">
        <v>2219</v>
      </c>
      <c r="F1523" s="92">
        <v>6</v>
      </c>
      <c r="G1523" s="3" t="s">
        <v>0</v>
      </c>
      <c r="H1523" s="40">
        <v>41456</v>
      </c>
      <c r="I1523" s="27" t="s">
        <v>984</v>
      </c>
      <c r="J1523" s="41" t="s">
        <v>1454</v>
      </c>
      <c r="K1523" s="4" t="s">
        <v>988</v>
      </c>
      <c r="L1523" s="29" t="s">
        <v>977</v>
      </c>
      <c r="M1523" s="78">
        <f t="shared" si="315"/>
        <v>1546.26</v>
      </c>
      <c r="N1523" s="78">
        <f t="shared" si="316"/>
        <v>257.70999999999998</v>
      </c>
      <c r="O1523" s="78">
        <v>1546.26</v>
      </c>
      <c r="P1523" s="72">
        <v>2220</v>
      </c>
      <c r="Q1523" s="256">
        <f t="shared" si="313"/>
        <v>488.4</v>
      </c>
      <c r="R1523" s="256">
        <f t="shared" si="314"/>
        <v>2708.4</v>
      </c>
      <c r="S1523" s="296"/>
      <c r="T1523" s="3">
        <v>78</v>
      </c>
      <c r="U1523" s="293"/>
    </row>
    <row r="1524" spans="1:21" ht="15" customHeight="1" x14ac:dyDescent="0.35">
      <c r="A1524" s="218" t="s">
        <v>3809</v>
      </c>
      <c r="B1524" s="3">
        <v>1443</v>
      </c>
      <c r="C1524" s="65">
        <v>10149113</v>
      </c>
      <c r="D1524" s="8" t="s">
        <v>1443</v>
      </c>
      <c r="E1524" s="19" t="s">
        <v>2219</v>
      </c>
      <c r="F1524" s="92">
        <v>351</v>
      </c>
      <c r="G1524" s="3" t="s">
        <v>0</v>
      </c>
      <c r="H1524" s="40">
        <v>41548</v>
      </c>
      <c r="I1524" s="27" t="s">
        <v>984</v>
      </c>
      <c r="J1524" s="41" t="s">
        <v>1409</v>
      </c>
      <c r="K1524" s="4" t="s">
        <v>988</v>
      </c>
      <c r="L1524" s="29" t="s">
        <v>977</v>
      </c>
      <c r="M1524" s="78">
        <f t="shared" si="315"/>
        <v>58153.68</v>
      </c>
      <c r="N1524" s="78">
        <f t="shared" si="316"/>
        <v>165.68</v>
      </c>
      <c r="O1524" s="78">
        <v>58153.68</v>
      </c>
      <c r="P1524" s="72">
        <v>84000</v>
      </c>
      <c r="Q1524" s="256">
        <f t="shared" si="313"/>
        <v>18480</v>
      </c>
      <c r="R1524" s="256">
        <f t="shared" si="314"/>
        <v>102480</v>
      </c>
      <c r="S1524" s="297"/>
      <c r="T1524" s="3">
        <v>78</v>
      </c>
      <c r="U1524" s="293"/>
    </row>
    <row r="1525" spans="1:21" ht="15" customHeight="1" x14ac:dyDescent="0.35">
      <c r="A1525" s="218"/>
      <c r="B1525" s="94"/>
      <c r="C1525" s="65"/>
      <c r="D1525" s="8"/>
      <c r="E1525" s="19"/>
      <c r="F1525" s="92"/>
      <c r="G1525" s="3"/>
      <c r="H1525" s="40"/>
      <c r="I1525" s="27"/>
      <c r="J1525" s="41"/>
      <c r="K1525" s="4"/>
      <c r="L1525" s="29"/>
      <c r="M1525" s="78"/>
      <c r="N1525" s="78"/>
      <c r="O1525" s="108">
        <f>SUM(O1511:O1524)</f>
        <v>572306.43000000005</v>
      </c>
      <c r="P1525" s="276">
        <f t="shared" ref="P1525:Q1525" si="317">SUM(P1511:P1524)</f>
        <v>801530</v>
      </c>
      <c r="Q1525" s="282">
        <f t="shared" si="317"/>
        <v>176336.6</v>
      </c>
      <c r="R1525" s="282">
        <f>SUM(R1511:R1524)</f>
        <v>977866.6</v>
      </c>
      <c r="S1525" s="286">
        <f>R1525/100*10</f>
        <v>97786.66</v>
      </c>
      <c r="T1525" s="104">
        <v>78</v>
      </c>
      <c r="U1525" s="304"/>
    </row>
    <row r="1526" spans="1:21" ht="15" customHeight="1" x14ac:dyDescent="0.35">
      <c r="A1526" s="218" t="s">
        <v>3810</v>
      </c>
      <c r="B1526" s="3">
        <v>1444</v>
      </c>
      <c r="C1526" s="44">
        <v>10127893</v>
      </c>
      <c r="D1526" s="18" t="s">
        <v>151</v>
      </c>
      <c r="E1526" s="18" t="s">
        <v>2214</v>
      </c>
      <c r="F1526" s="12">
        <v>5</v>
      </c>
      <c r="G1526" s="3" t="s">
        <v>0</v>
      </c>
      <c r="H1526" s="49" t="s">
        <v>2195</v>
      </c>
      <c r="I1526" s="5" t="s">
        <v>2209</v>
      </c>
      <c r="J1526" s="4" t="s">
        <v>1962</v>
      </c>
      <c r="K1526" s="5" t="s">
        <v>988</v>
      </c>
      <c r="L1526" s="29" t="s">
        <v>2143</v>
      </c>
      <c r="M1526" s="78">
        <f t="shared" si="315"/>
        <v>9329.25</v>
      </c>
      <c r="N1526" s="78">
        <f t="shared" ref="N1526:N1539" si="318">O1526/F1526</f>
        <v>1865.85</v>
      </c>
      <c r="O1526" s="78">
        <v>9329.25</v>
      </c>
      <c r="P1526" s="72">
        <v>8890</v>
      </c>
      <c r="Q1526" s="256">
        <f t="shared" ref="Q1526:Q1539" si="319">R1526-P1526</f>
        <v>1955.8</v>
      </c>
      <c r="R1526" s="256">
        <f t="shared" ref="R1526:R1539" si="320">P1526*1.22</f>
        <v>10845.8</v>
      </c>
      <c r="S1526" s="289"/>
      <c r="T1526" s="3">
        <v>79</v>
      </c>
      <c r="U1526" s="292" t="s">
        <v>2363</v>
      </c>
    </row>
    <row r="1527" spans="1:21" ht="15" customHeight="1" x14ac:dyDescent="0.35">
      <c r="A1527" s="218" t="s">
        <v>3811</v>
      </c>
      <c r="B1527" s="3">
        <v>1445</v>
      </c>
      <c r="C1527" s="18">
        <v>10152488</v>
      </c>
      <c r="D1527" s="18" t="s">
        <v>2247</v>
      </c>
      <c r="E1527" s="18" t="s">
        <v>2248</v>
      </c>
      <c r="F1527" s="34">
        <v>130</v>
      </c>
      <c r="G1527" s="12" t="s">
        <v>8</v>
      </c>
      <c r="H1527" s="5">
        <v>42698</v>
      </c>
      <c r="I1527" s="19" t="s">
        <v>985</v>
      </c>
      <c r="J1527" s="4" t="s">
        <v>1962</v>
      </c>
      <c r="K1527" s="4" t="s">
        <v>988</v>
      </c>
      <c r="L1527" s="6" t="s">
        <v>871</v>
      </c>
      <c r="M1527" s="81">
        <f t="shared" si="315"/>
        <v>317237.69</v>
      </c>
      <c r="N1527" s="81">
        <f t="shared" si="318"/>
        <v>2440.29</v>
      </c>
      <c r="O1527" s="81">
        <v>317237.69</v>
      </c>
      <c r="P1527" s="72">
        <v>185360</v>
      </c>
      <c r="Q1527" s="256">
        <f t="shared" si="319"/>
        <v>40779.199999999997</v>
      </c>
      <c r="R1527" s="256">
        <f t="shared" si="320"/>
        <v>226139.2</v>
      </c>
      <c r="S1527" s="296"/>
      <c r="T1527" s="3">
        <v>79</v>
      </c>
      <c r="U1527" s="293"/>
    </row>
    <row r="1528" spans="1:21" ht="15" customHeight="1" x14ac:dyDescent="0.35">
      <c r="A1528" s="218" t="s">
        <v>3812</v>
      </c>
      <c r="B1528" s="3">
        <v>1446</v>
      </c>
      <c r="C1528" s="44">
        <v>10016542</v>
      </c>
      <c r="D1528" s="18" t="s">
        <v>1304</v>
      </c>
      <c r="E1528" s="18" t="s">
        <v>2213</v>
      </c>
      <c r="F1528" s="12">
        <v>2</v>
      </c>
      <c r="G1528" s="3" t="s">
        <v>0</v>
      </c>
      <c r="H1528" s="5">
        <v>42004</v>
      </c>
      <c r="I1528" s="5" t="s">
        <v>2209</v>
      </c>
      <c r="J1528" s="4" t="s">
        <v>1962</v>
      </c>
      <c r="K1528" s="49" t="s">
        <v>988</v>
      </c>
      <c r="L1528" s="6" t="s">
        <v>871</v>
      </c>
      <c r="M1528" s="81">
        <f t="shared" si="315"/>
        <v>3114.82</v>
      </c>
      <c r="N1528" s="81">
        <f t="shared" si="318"/>
        <v>1557.41</v>
      </c>
      <c r="O1528" s="81">
        <v>3114.82</v>
      </c>
      <c r="P1528" s="72">
        <v>2210</v>
      </c>
      <c r="Q1528" s="256">
        <f t="shared" si="319"/>
        <v>486.2</v>
      </c>
      <c r="R1528" s="256">
        <f t="shared" si="320"/>
        <v>2696.2</v>
      </c>
      <c r="S1528" s="296"/>
      <c r="T1528" s="3">
        <v>79</v>
      </c>
      <c r="U1528" s="293"/>
    </row>
    <row r="1529" spans="1:21" ht="15" customHeight="1" x14ac:dyDescent="0.35">
      <c r="A1529" s="218" t="s">
        <v>3813</v>
      </c>
      <c r="B1529" s="3">
        <v>1447</v>
      </c>
      <c r="C1529" s="44">
        <v>10015213</v>
      </c>
      <c r="D1529" s="18" t="s">
        <v>1305</v>
      </c>
      <c r="E1529" s="18" t="s">
        <v>2213</v>
      </c>
      <c r="F1529" s="12">
        <v>3</v>
      </c>
      <c r="G1529" s="3" t="s">
        <v>0</v>
      </c>
      <c r="H1529" s="5">
        <v>42004</v>
      </c>
      <c r="I1529" s="5" t="s">
        <v>2209</v>
      </c>
      <c r="J1529" s="4" t="s">
        <v>1962</v>
      </c>
      <c r="K1529" s="49" t="s">
        <v>988</v>
      </c>
      <c r="L1529" s="6" t="s">
        <v>871</v>
      </c>
      <c r="M1529" s="81">
        <f t="shared" si="315"/>
        <v>3226.11</v>
      </c>
      <c r="N1529" s="81">
        <f t="shared" si="318"/>
        <v>1075.3699999999999</v>
      </c>
      <c r="O1529" s="81">
        <v>3226.11</v>
      </c>
      <c r="P1529" s="72">
        <v>2290</v>
      </c>
      <c r="Q1529" s="256">
        <f t="shared" si="319"/>
        <v>503.8</v>
      </c>
      <c r="R1529" s="256">
        <f t="shared" si="320"/>
        <v>2793.8</v>
      </c>
      <c r="S1529" s="296"/>
      <c r="T1529" s="3">
        <v>79</v>
      </c>
      <c r="U1529" s="293"/>
    </row>
    <row r="1530" spans="1:21" ht="15" customHeight="1" x14ac:dyDescent="0.35">
      <c r="A1530" s="218" t="s">
        <v>3814</v>
      </c>
      <c r="B1530" s="3">
        <v>1448</v>
      </c>
      <c r="C1530" s="44">
        <v>10007328</v>
      </c>
      <c r="D1530" s="18" t="s">
        <v>1306</v>
      </c>
      <c r="E1530" s="18" t="s">
        <v>2213</v>
      </c>
      <c r="F1530" s="12">
        <v>4</v>
      </c>
      <c r="G1530" s="3" t="s">
        <v>0</v>
      </c>
      <c r="H1530" s="5">
        <v>42004</v>
      </c>
      <c r="I1530" s="5" t="s">
        <v>2209</v>
      </c>
      <c r="J1530" s="4" t="s">
        <v>1962</v>
      </c>
      <c r="K1530" s="49" t="s">
        <v>988</v>
      </c>
      <c r="L1530" s="6" t="s">
        <v>871</v>
      </c>
      <c r="M1530" s="81">
        <f t="shared" si="315"/>
        <v>6683</v>
      </c>
      <c r="N1530" s="81">
        <f t="shared" si="318"/>
        <v>1670.75</v>
      </c>
      <c r="O1530" s="81">
        <v>6683</v>
      </c>
      <c r="P1530" s="72">
        <v>4730</v>
      </c>
      <c r="Q1530" s="256">
        <f t="shared" si="319"/>
        <v>1040.5999999999999</v>
      </c>
      <c r="R1530" s="256">
        <f t="shared" si="320"/>
        <v>5770.6</v>
      </c>
      <c r="S1530" s="296"/>
      <c r="T1530" s="3">
        <v>79</v>
      </c>
      <c r="U1530" s="293"/>
    </row>
    <row r="1531" spans="1:21" ht="15" customHeight="1" x14ac:dyDescent="0.35">
      <c r="A1531" s="218" t="s">
        <v>3815</v>
      </c>
      <c r="B1531" s="3">
        <v>1449</v>
      </c>
      <c r="C1531" s="44">
        <v>10007329</v>
      </c>
      <c r="D1531" s="18" t="s">
        <v>1307</v>
      </c>
      <c r="E1531" s="18" t="s">
        <v>2213</v>
      </c>
      <c r="F1531" s="12">
        <v>5</v>
      </c>
      <c r="G1531" s="3" t="s">
        <v>0</v>
      </c>
      <c r="H1531" s="5">
        <v>42004</v>
      </c>
      <c r="I1531" s="5" t="s">
        <v>2209</v>
      </c>
      <c r="J1531" s="4" t="s">
        <v>1962</v>
      </c>
      <c r="K1531" s="49" t="s">
        <v>988</v>
      </c>
      <c r="L1531" s="6" t="s">
        <v>871</v>
      </c>
      <c r="M1531" s="81">
        <f t="shared" si="315"/>
        <v>7355.93</v>
      </c>
      <c r="N1531" s="81">
        <f t="shared" si="318"/>
        <v>1471.19</v>
      </c>
      <c r="O1531" s="81">
        <v>7355.93</v>
      </c>
      <c r="P1531" s="72">
        <v>5210</v>
      </c>
      <c r="Q1531" s="256">
        <f t="shared" si="319"/>
        <v>1146.2</v>
      </c>
      <c r="R1531" s="256">
        <f t="shared" si="320"/>
        <v>6356.2</v>
      </c>
      <c r="S1531" s="296"/>
      <c r="T1531" s="3">
        <v>79</v>
      </c>
      <c r="U1531" s="293"/>
    </row>
    <row r="1532" spans="1:21" ht="15" customHeight="1" x14ac:dyDescent="0.35">
      <c r="A1532" s="218" t="s">
        <v>3816</v>
      </c>
      <c r="B1532" s="3">
        <v>1450</v>
      </c>
      <c r="C1532" s="44">
        <v>10007332</v>
      </c>
      <c r="D1532" s="18" t="s">
        <v>1308</v>
      </c>
      <c r="E1532" s="18" t="s">
        <v>2211</v>
      </c>
      <c r="F1532" s="12">
        <f>10-4</f>
        <v>6</v>
      </c>
      <c r="G1532" s="3" t="s">
        <v>0</v>
      </c>
      <c r="H1532" s="5">
        <v>42004</v>
      </c>
      <c r="I1532" s="5" t="s">
        <v>2209</v>
      </c>
      <c r="J1532" s="4" t="s">
        <v>1962</v>
      </c>
      <c r="K1532" s="49" t="s">
        <v>988</v>
      </c>
      <c r="L1532" s="6" t="s">
        <v>871</v>
      </c>
      <c r="M1532" s="81">
        <f t="shared" si="315"/>
        <v>8827.1200000000008</v>
      </c>
      <c r="N1532" s="81">
        <f t="shared" si="318"/>
        <v>1471.19</v>
      </c>
      <c r="O1532" s="81">
        <f>14711.86/10*6</f>
        <v>8827.1200000000008</v>
      </c>
      <c r="P1532" s="72">
        <v>6250</v>
      </c>
      <c r="Q1532" s="256">
        <f t="shared" si="319"/>
        <v>1375</v>
      </c>
      <c r="R1532" s="256">
        <f t="shared" si="320"/>
        <v>7625</v>
      </c>
      <c r="S1532" s="296"/>
      <c r="T1532" s="3">
        <v>79</v>
      </c>
      <c r="U1532" s="293"/>
    </row>
    <row r="1533" spans="1:21" ht="15" customHeight="1" x14ac:dyDescent="0.35">
      <c r="A1533" s="218" t="s">
        <v>3817</v>
      </c>
      <c r="B1533" s="3">
        <v>1451</v>
      </c>
      <c r="C1533" s="44">
        <v>10007332</v>
      </c>
      <c r="D1533" s="18" t="s">
        <v>1308</v>
      </c>
      <c r="E1533" s="18" t="s">
        <v>2213</v>
      </c>
      <c r="F1533" s="12">
        <v>25</v>
      </c>
      <c r="G1533" s="3" t="s">
        <v>0</v>
      </c>
      <c r="H1533" s="5">
        <v>42004</v>
      </c>
      <c r="I1533" s="5" t="s">
        <v>2209</v>
      </c>
      <c r="J1533" s="4" t="s">
        <v>1962</v>
      </c>
      <c r="K1533" s="49" t="s">
        <v>988</v>
      </c>
      <c r="L1533" s="6" t="s">
        <v>871</v>
      </c>
      <c r="M1533" s="81">
        <f t="shared" si="315"/>
        <v>36779.65</v>
      </c>
      <c r="N1533" s="81">
        <f t="shared" si="318"/>
        <v>1471.19</v>
      </c>
      <c r="O1533" s="81">
        <v>36779.65</v>
      </c>
      <c r="P1533" s="72">
        <v>26060</v>
      </c>
      <c r="Q1533" s="256">
        <f t="shared" si="319"/>
        <v>5733.2</v>
      </c>
      <c r="R1533" s="256">
        <f t="shared" si="320"/>
        <v>31793.200000000001</v>
      </c>
      <c r="S1533" s="296"/>
      <c r="T1533" s="3">
        <v>79</v>
      </c>
      <c r="U1533" s="293"/>
    </row>
    <row r="1534" spans="1:21" ht="15" customHeight="1" x14ac:dyDescent="0.35">
      <c r="A1534" s="218" t="s">
        <v>3818</v>
      </c>
      <c r="B1534" s="3">
        <v>1452</v>
      </c>
      <c r="C1534" s="44">
        <v>10152487</v>
      </c>
      <c r="D1534" s="18" t="s">
        <v>125</v>
      </c>
      <c r="E1534" s="19" t="s">
        <v>2219</v>
      </c>
      <c r="F1534" s="12">
        <v>195</v>
      </c>
      <c r="G1534" s="3" t="s">
        <v>8</v>
      </c>
      <c r="H1534" s="49">
        <v>2014</v>
      </c>
      <c r="I1534" s="27" t="s">
        <v>984</v>
      </c>
      <c r="J1534" s="14" t="s">
        <v>2288</v>
      </c>
      <c r="K1534" s="49" t="s">
        <v>2060</v>
      </c>
      <c r="L1534" s="5" t="s">
        <v>2147</v>
      </c>
      <c r="M1534" s="72">
        <f t="shared" si="315"/>
        <v>152322.85999999999</v>
      </c>
      <c r="N1534" s="72">
        <f t="shared" si="318"/>
        <v>781.14</v>
      </c>
      <c r="O1534" s="72">
        <v>152322.85999999999</v>
      </c>
      <c r="P1534" s="72">
        <v>178070</v>
      </c>
      <c r="Q1534" s="256">
        <f t="shared" si="319"/>
        <v>39175.4</v>
      </c>
      <c r="R1534" s="256">
        <f t="shared" si="320"/>
        <v>217245.4</v>
      </c>
      <c r="S1534" s="296"/>
      <c r="T1534" s="3">
        <v>79</v>
      </c>
      <c r="U1534" s="293"/>
    </row>
    <row r="1535" spans="1:21" ht="15" customHeight="1" x14ac:dyDescent="0.35">
      <c r="A1535" s="218" t="s">
        <v>3819</v>
      </c>
      <c r="B1535" s="3">
        <v>1453</v>
      </c>
      <c r="C1535" s="44">
        <v>10009783</v>
      </c>
      <c r="D1535" s="18" t="s">
        <v>80</v>
      </c>
      <c r="E1535" s="18" t="s">
        <v>2027</v>
      </c>
      <c r="F1535" s="12">
        <f>8-1</f>
        <v>7</v>
      </c>
      <c r="G1535" s="3" t="s">
        <v>0</v>
      </c>
      <c r="H1535" s="49">
        <v>2014</v>
      </c>
      <c r="I1535" s="27" t="s">
        <v>984</v>
      </c>
      <c r="J1535" s="5" t="s">
        <v>1962</v>
      </c>
      <c r="K1535" s="49" t="s">
        <v>2081</v>
      </c>
      <c r="L1535" s="5" t="s">
        <v>2147</v>
      </c>
      <c r="M1535" s="72">
        <f t="shared" si="315"/>
        <v>5258.4</v>
      </c>
      <c r="N1535" s="72">
        <f t="shared" si="318"/>
        <v>751.2</v>
      </c>
      <c r="O1535" s="72">
        <f>6009.6/8*7</f>
        <v>5258.4</v>
      </c>
      <c r="P1535" s="72">
        <v>6150</v>
      </c>
      <c r="Q1535" s="256">
        <f t="shared" si="319"/>
        <v>1353</v>
      </c>
      <c r="R1535" s="256">
        <f t="shared" si="320"/>
        <v>7503</v>
      </c>
      <c r="S1535" s="296"/>
      <c r="T1535" s="3">
        <v>79</v>
      </c>
      <c r="U1535" s="293"/>
    </row>
    <row r="1536" spans="1:21" ht="15" customHeight="1" x14ac:dyDescent="0.35">
      <c r="A1536" s="218" t="s">
        <v>3820</v>
      </c>
      <c r="B1536" s="3">
        <v>1454</v>
      </c>
      <c r="C1536" s="44">
        <v>10009802</v>
      </c>
      <c r="D1536" s="18" t="s">
        <v>104</v>
      </c>
      <c r="E1536" s="18" t="s">
        <v>2027</v>
      </c>
      <c r="F1536" s="12">
        <v>50</v>
      </c>
      <c r="G1536" s="3" t="s">
        <v>0</v>
      </c>
      <c r="H1536" s="49">
        <v>2014</v>
      </c>
      <c r="I1536" s="27" t="s">
        <v>984</v>
      </c>
      <c r="J1536" s="35" t="s">
        <v>2261</v>
      </c>
      <c r="K1536" s="49" t="s">
        <v>2089</v>
      </c>
      <c r="L1536" s="5" t="s">
        <v>2147</v>
      </c>
      <c r="M1536" s="72">
        <f t="shared" si="315"/>
        <v>39343.68</v>
      </c>
      <c r="N1536" s="72">
        <f t="shared" si="318"/>
        <v>786.87</v>
      </c>
      <c r="O1536" s="72">
        <v>39343.68</v>
      </c>
      <c r="P1536" s="72">
        <v>45990</v>
      </c>
      <c r="Q1536" s="256">
        <f t="shared" si="319"/>
        <v>10117.799999999999</v>
      </c>
      <c r="R1536" s="256">
        <f t="shared" si="320"/>
        <v>56107.8</v>
      </c>
      <c r="S1536" s="296"/>
      <c r="T1536" s="3">
        <v>79</v>
      </c>
      <c r="U1536" s="293"/>
    </row>
    <row r="1537" spans="1:21" ht="15" customHeight="1" x14ac:dyDescent="0.35">
      <c r="A1537" s="218" t="s">
        <v>3821</v>
      </c>
      <c r="B1537" s="3">
        <v>1455</v>
      </c>
      <c r="C1537" s="44">
        <v>10045989</v>
      </c>
      <c r="D1537" s="18" t="s">
        <v>119</v>
      </c>
      <c r="E1537" s="18" t="s">
        <v>2219</v>
      </c>
      <c r="F1537" s="12">
        <f>119-50</f>
        <v>69</v>
      </c>
      <c r="G1537" s="3" t="s">
        <v>0</v>
      </c>
      <c r="H1537" s="49">
        <v>2014</v>
      </c>
      <c r="I1537" s="27" t="s">
        <v>984</v>
      </c>
      <c r="J1537" s="5" t="s">
        <v>1962</v>
      </c>
      <c r="K1537" s="49" t="s">
        <v>2097</v>
      </c>
      <c r="L1537" s="5" t="s">
        <v>2147</v>
      </c>
      <c r="M1537" s="72">
        <f t="shared" si="315"/>
        <v>14681.13</v>
      </c>
      <c r="N1537" s="72">
        <f t="shared" si="318"/>
        <v>212.77</v>
      </c>
      <c r="O1537" s="72">
        <f>25319.63/119*69</f>
        <v>14681.13</v>
      </c>
      <c r="P1537" s="72">
        <v>15220</v>
      </c>
      <c r="Q1537" s="256">
        <f t="shared" si="319"/>
        <v>3348.4</v>
      </c>
      <c r="R1537" s="256">
        <f t="shared" si="320"/>
        <v>18568.400000000001</v>
      </c>
      <c r="S1537" s="296"/>
      <c r="T1537" s="3">
        <v>79</v>
      </c>
      <c r="U1537" s="293"/>
    </row>
    <row r="1538" spans="1:21" ht="15" customHeight="1" x14ac:dyDescent="0.35">
      <c r="A1538" s="218" t="s">
        <v>3822</v>
      </c>
      <c r="B1538" s="3">
        <v>1456</v>
      </c>
      <c r="C1538" s="44">
        <v>10028533</v>
      </c>
      <c r="D1538" s="18" t="s">
        <v>123</v>
      </c>
      <c r="E1538" s="18" t="s">
        <v>2027</v>
      </c>
      <c r="F1538" s="12">
        <v>164</v>
      </c>
      <c r="G1538" s="3" t="s">
        <v>0</v>
      </c>
      <c r="H1538" s="49">
        <v>2014</v>
      </c>
      <c r="I1538" s="27" t="s">
        <v>984</v>
      </c>
      <c r="J1538" s="5" t="s">
        <v>1962</v>
      </c>
      <c r="K1538" s="49" t="s">
        <v>2099</v>
      </c>
      <c r="L1538" s="5" t="s">
        <v>2147</v>
      </c>
      <c r="M1538" s="72">
        <f t="shared" si="315"/>
        <v>5644.11</v>
      </c>
      <c r="N1538" s="72">
        <f t="shared" si="318"/>
        <v>34.42</v>
      </c>
      <c r="O1538" s="72">
        <v>5644.11</v>
      </c>
      <c r="P1538" s="72">
        <v>5850</v>
      </c>
      <c r="Q1538" s="256">
        <f t="shared" si="319"/>
        <v>1287</v>
      </c>
      <c r="R1538" s="256">
        <f t="shared" si="320"/>
        <v>7137</v>
      </c>
      <c r="S1538" s="296"/>
      <c r="T1538" s="3">
        <v>79</v>
      </c>
      <c r="U1538" s="293"/>
    </row>
    <row r="1539" spans="1:21" ht="15" customHeight="1" x14ac:dyDescent="0.35">
      <c r="A1539" s="218" t="s">
        <v>3823</v>
      </c>
      <c r="B1539" s="3">
        <v>1457</v>
      </c>
      <c r="C1539" s="44">
        <v>10037331</v>
      </c>
      <c r="D1539" s="18" t="s">
        <v>139</v>
      </c>
      <c r="E1539" s="18" t="s">
        <v>2027</v>
      </c>
      <c r="F1539" s="241">
        <v>1086</v>
      </c>
      <c r="G1539" s="3" t="s">
        <v>0</v>
      </c>
      <c r="H1539" s="49">
        <v>2014</v>
      </c>
      <c r="I1539" s="27" t="s">
        <v>984</v>
      </c>
      <c r="J1539" s="5" t="s">
        <v>1962</v>
      </c>
      <c r="K1539" s="49" t="s">
        <v>988</v>
      </c>
      <c r="L1539" s="5" t="s">
        <v>2147</v>
      </c>
      <c r="M1539" s="72">
        <f t="shared" si="315"/>
        <v>33752.879999999997</v>
      </c>
      <c r="N1539" s="72">
        <f t="shared" si="318"/>
        <v>31.08</v>
      </c>
      <c r="O1539" s="72">
        <v>33752.879999999997</v>
      </c>
      <c r="P1539" s="72">
        <v>34990</v>
      </c>
      <c r="Q1539" s="256">
        <f t="shared" si="319"/>
        <v>7697.8</v>
      </c>
      <c r="R1539" s="256">
        <f t="shared" si="320"/>
        <v>42687.8</v>
      </c>
      <c r="S1539" s="297"/>
      <c r="T1539" s="3">
        <v>79</v>
      </c>
      <c r="U1539" s="293"/>
    </row>
    <row r="1540" spans="1:21" ht="15" customHeight="1" x14ac:dyDescent="0.35">
      <c r="A1540" s="218"/>
      <c r="B1540" s="94"/>
      <c r="C1540" s="44"/>
      <c r="D1540" s="18"/>
      <c r="E1540" s="18"/>
      <c r="F1540" s="12"/>
      <c r="G1540" s="3"/>
      <c r="H1540" s="49"/>
      <c r="I1540" s="27"/>
      <c r="J1540" s="5"/>
      <c r="K1540" s="49"/>
      <c r="L1540" s="5"/>
      <c r="M1540" s="72"/>
      <c r="N1540" s="72"/>
      <c r="O1540" s="82">
        <f>SUM(O1526:O1539)</f>
        <v>643556.63</v>
      </c>
      <c r="P1540" s="276">
        <f t="shared" ref="P1540:Q1540" si="321">SUM(P1526:P1539)</f>
        <v>527270</v>
      </c>
      <c r="Q1540" s="282">
        <f t="shared" si="321"/>
        <v>115999.4</v>
      </c>
      <c r="R1540" s="282">
        <f>SUM(R1526:R1539)</f>
        <v>643269.4</v>
      </c>
      <c r="S1540" s="286">
        <f>R1540/100*10</f>
        <v>64326.94</v>
      </c>
      <c r="T1540" s="104">
        <v>79</v>
      </c>
      <c r="U1540" s="304"/>
    </row>
    <row r="1541" spans="1:21" ht="15" customHeight="1" x14ac:dyDescent="0.35">
      <c r="A1541" s="218" t="s">
        <v>3824</v>
      </c>
      <c r="B1541" s="3">
        <v>1458</v>
      </c>
      <c r="C1541" s="44">
        <v>10023898</v>
      </c>
      <c r="D1541" s="18" t="s">
        <v>15</v>
      </c>
      <c r="E1541" s="18" t="s">
        <v>2027</v>
      </c>
      <c r="F1541" s="12">
        <v>1</v>
      </c>
      <c r="G1541" s="3" t="s">
        <v>0</v>
      </c>
      <c r="H1541" s="49">
        <v>2014</v>
      </c>
      <c r="I1541" s="27" t="s">
        <v>984</v>
      </c>
      <c r="J1541" s="5" t="s">
        <v>1962</v>
      </c>
      <c r="K1541" s="49" t="s">
        <v>2062</v>
      </c>
      <c r="L1541" s="5" t="s">
        <v>2297</v>
      </c>
      <c r="M1541" s="72">
        <f t="shared" si="315"/>
        <v>450.06</v>
      </c>
      <c r="N1541" s="72">
        <f t="shared" ref="N1541:N1547" si="322">O1541/F1541</f>
        <v>450.06</v>
      </c>
      <c r="O1541" s="72">
        <v>450.06</v>
      </c>
      <c r="P1541" s="72">
        <v>430</v>
      </c>
      <c r="Q1541" s="256">
        <f t="shared" ref="Q1541:Q1547" si="323">R1541-P1541</f>
        <v>94.6</v>
      </c>
      <c r="R1541" s="256">
        <f t="shared" ref="R1541:R1547" si="324">P1541*1.22</f>
        <v>524.6</v>
      </c>
      <c r="S1541" s="289"/>
      <c r="T1541" s="3">
        <v>80</v>
      </c>
      <c r="U1541" s="292" t="s">
        <v>2344</v>
      </c>
    </row>
    <row r="1542" spans="1:21" ht="15" customHeight="1" x14ac:dyDescent="0.35">
      <c r="A1542" s="218" t="s">
        <v>3825</v>
      </c>
      <c r="B1542" s="3">
        <v>1459</v>
      </c>
      <c r="C1542" s="44">
        <v>10023735</v>
      </c>
      <c r="D1542" s="18" t="s">
        <v>40</v>
      </c>
      <c r="E1542" s="18" t="s">
        <v>2027</v>
      </c>
      <c r="F1542" s="12">
        <v>2</v>
      </c>
      <c r="G1542" s="3" t="s">
        <v>0</v>
      </c>
      <c r="H1542" s="49">
        <v>2014</v>
      </c>
      <c r="I1542" s="27" t="s">
        <v>984</v>
      </c>
      <c r="J1542" s="5" t="s">
        <v>1962</v>
      </c>
      <c r="K1542" s="49" t="s">
        <v>2069</v>
      </c>
      <c r="L1542" s="5" t="s">
        <v>2297</v>
      </c>
      <c r="M1542" s="72">
        <f t="shared" si="315"/>
        <v>411.9</v>
      </c>
      <c r="N1542" s="72">
        <f t="shared" si="322"/>
        <v>205.95</v>
      </c>
      <c r="O1542" s="72">
        <v>411.9</v>
      </c>
      <c r="P1542" s="72">
        <v>390</v>
      </c>
      <c r="Q1542" s="256">
        <f t="shared" si="323"/>
        <v>85.8</v>
      </c>
      <c r="R1542" s="256">
        <f t="shared" si="324"/>
        <v>475.8</v>
      </c>
      <c r="S1542" s="296"/>
      <c r="T1542" s="3">
        <v>80</v>
      </c>
      <c r="U1542" s="293"/>
    </row>
    <row r="1543" spans="1:21" ht="15" customHeight="1" x14ac:dyDescent="0.35">
      <c r="A1543" s="218" t="s">
        <v>3826</v>
      </c>
      <c r="B1543" s="3">
        <v>1460</v>
      </c>
      <c r="C1543" s="44">
        <v>10023739</v>
      </c>
      <c r="D1543" s="18" t="s">
        <v>72</v>
      </c>
      <c r="E1543" s="18" t="s">
        <v>2027</v>
      </c>
      <c r="F1543" s="12">
        <v>5</v>
      </c>
      <c r="G1543" s="3" t="s">
        <v>0</v>
      </c>
      <c r="H1543" s="49">
        <v>2014</v>
      </c>
      <c r="I1543" s="27" t="s">
        <v>984</v>
      </c>
      <c r="J1543" s="5" t="s">
        <v>1962</v>
      </c>
      <c r="K1543" s="49" t="s">
        <v>2075</v>
      </c>
      <c r="L1543" s="5" t="s">
        <v>2297</v>
      </c>
      <c r="M1543" s="72">
        <f t="shared" si="315"/>
        <v>1457.18</v>
      </c>
      <c r="N1543" s="72">
        <f t="shared" si="322"/>
        <v>291.44</v>
      </c>
      <c r="O1543" s="72">
        <v>1457.18</v>
      </c>
      <c r="P1543" s="72">
        <v>1390</v>
      </c>
      <c r="Q1543" s="256">
        <f t="shared" si="323"/>
        <v>305.8</v>
      </c>
      <c r="R1543" s="256">
        <f t="shared" si="324"/>
        <v>1695.8</v>
      </c>
      <c r="S1543" s="296"/>
      <c r="T1543" s="3">
        <v>80</v>
      </c>
      <c r="U1543" s="293"/>
    </row>
    <row r="1544" spans="1:21" ht="101.5" customHeight="1" x14ac:dyDescent="0.35">
      <c r="A1544" s="218" t="s">
        <v>3827</v>
      </c>
      <c r="B1544" s="3">
        <v>1461</v>
      </c>
      <c r="C1544" s="44">
        <v>10023840</v>
      </c>
      <c r="D1544" s="18" t="s">
        <v>77</v>
      </c>
      <c r="E1544" s="18" t="s">
        <v>2027</v>
      </c>
      <c r="F1544" s="12">
        <v>6</v>
      </c>
      <c r="G1544" s="3" t="s">
        <v>0</v>
      </c>
      <c r="H1544" s="49">
        <v>2014</v>
      </c>
      <c r="I1544" s="27" t="s">
        <v>984</v>
      </c>
      <c r="J1544" s="5" t="s">
        <v>1962</v>
      </c>
      <c r="K1544" s="49" t="s">
        <v>2078</v>
      </c>
      <c r="L1544" s="35" t="s">
        <v>4228</v>
      </c>
      <c r="M1544" s="81">
        <f t="shared" si="315"/>
        <v>3757.06</v>
      </c>
      <c r="N1544" s="81">
        <f t="shared" si="322"/>
        <v>626.17999999999995</v>
      </c>
      <c r="O1544" s="81">
        <v>3757.06</v>
      </c>
      <c r="P1544" s="72">
        <v>6110</v>
      </c>
      <c r="Q1544" s="256">
        <f t="shared" si="323"/>
        <v>1344.2</v>
      </c>
      <c r="R1544" s="256">
        <f t="shared" si="324"/>
        <v>7454.2</v>
      </c>
      <c r="S1544" s="296"/>
      <c r="T1544" s="3">
        <v>80</v>
      </c>
      <c r="U1544" s="293"/>
    </row>
    <row r="1545" spans="1:21" ht="15" customHeight="1" x14ac:dyDescent="0.35">
      <c r="A1545" s="218" t="s">
        <v>3828</v>
      </c>
      <c r="B1545" s="3">
        <v>1462</v>
      </c>
      <c r="C1545" s="44">
        <v>10023867</v>
      </c>
      <c r="D1545" s="18" t="s">
        <v>82</v>
      </c>
      <c r="E1545" s="18" t="s">
        <v>2027</v>
      </c>
      <c r="F1545" s="12">
        <v>11</v>
      </c>
      <c r="G1545" s="3" t="s">
        <v>0</v>
      </c>
      <c r="H1545" s="49">
        <v>2014</v>
      </c>
      <c r="I1545" s="27" t="s">
        <v>984</v>
      </c>
      <c r="J1545" s="5" t="s">
        <v>1962</v>
      </c>
      <c r="K1545" s="49" t="s">
        <v>2082</v>
      </c>
      <c r="L1545" s="5" t="s">
        <v>2297</v>
      </c>
      <c r="M1545" s="72">
        <f t="shared" si="315"/>
        <v>3970.07</v>
      </c>
      <c r="N1545" s="72">
        <f t="shared" si="322"/>
        <v>360.92</v>
      </c>
      <c r="O1545" s="72">
        <v>3970.07</v>
      </c>
      <c r="P1545" s="72">
        <v>3800</v>
      </c>
      <c r="Q1545" s="256">
        <f t="shared" si="323"/>
        <v>836</v>
      </c>
      <c r="R1545" s="256">
        <f t="shared" si="324"/>
        <v>4636</v>
      </c>
      <c r="S1545" s="296"/>
      <c r="T1545" s="3">
        <v>80</v>
      </c>
      <c r="U1545" s="293"/>
    </row>
    <row r="1546" spans="1:21" ht="15" customHeight="1" x14ac:dyDescent="0.35">
      <c r="A1546" s="218" t="s">
        <v>3829</v>
      </c>
      <c r="B1546" s="3">
        <v>1463</v>
      </c>
      <c r="C1546" s="44">
        <v>10119400</v>
      </c>
      <c r="D1546" s="18" t="s">
        <v>1585</v>
      </c>
      <c r="E1546" s="18" t="s">
        <v>2027</v>
      </c>
      <c r="F1546" s="12">
        <v>1</v>
      </c>
      <c r="G1546" s="3" t="s">
        <v>0</v>
      </c>
      <c r="H1546" s="39">
        <v>41533</v>
      </c>
      <c r="I1546" s="27" t="s">
        <v>984</v>
      </c>
      <c r="J1546" s="4" t="s">
        <v>1962</v>
      </c>
      <c r="K1546" s="4" t="s">
        <v>988</v>
      </c>
      <c r="L1546" s="29" t="s">
        <v>977</v>
      </c>
      <c r="M1546" s="78">
        <f t="shared" si="315"/>
        <v>28610.17</v>
      </c>
      <c r="N1546" s="78">
        <f t="shared" si="322"/>
        <v>28610.17</v>
      </c>
      <c r="O1546" s="78">
        <v>28610.17</v>
      </c>
      <c r="P1546" s="72">
        <v>48600</v>
      </c>
      <c r="Q1546" s="256">
        <f t="shared" si="323"/>
        <v>10692</v>
      </c>
      <c r="R1546" s="256">
        <f t="shared" si="324"/>
        <v>59292</v>
      </c>
      <c r="S1546" s="296"/>
      <c r="T1546" s="3">
        <v>80</v>
      </c>
      <c r="U1546" s="293"/>
    </row>
    <row r="1547" spans="1:21" ht="15" customHeight="1" x14ac:dyDescent="0.35">
      <c r="A1547" s="218" t="s">
        <v>3830</v>
      </c>
      <c r="B1547" s="3">
        <v>1464</v>
      </c>
      <c r="C1547" s="44">
        <v>10127622</v>
      </c>
      <c r="D1547" s="18" t="s">
        <v>1676</v>
      </c>
      <c r="E1547" s="18" t="s">
        <v>2027</v>
      </c>
      <c r="F1547" s="12">
        <v>20</v>
      </c>
      <c r="G1547" s="3" t="s">
        <v>0</v>
      </c>
      <c r="H1547" s="39">
        <v>41375</v>
      </c>
      <c r="I1547" s="27" t="s">
        <v>984</v>
      </c>
      <c r="J1547" s="4" t="s">
        <v>1962</v>
      </c>
      <c r="K1547" s="4" t="s">
        <v>988</v>
      </c>
      <c r="L1547" s="29" t="s">
        <v>977</v>
      </c>
      <c r="M1547" s="78">
        <f t="shared" si="315"/>
        <v>7471.45</v>
      </c>
      <c r="N1547" s="78">
        <f t="shared" si="322"/>
        <v>373.57</v>
      </c>
      <c r="O1547" s="78">
        <v>7471.45</v>
      </c>
      <c r="P1547" s="72">
        <v>12890</v>
      </c>
      <c r="Q1547" s="256">
        <f t="shared" si="323"/>
        <v>2835.8</v>
      </c>
      <c r="R1547" s="256">
        <f t="shared" si="324"/>
        <v>15725.8</v>
      </c>
      <c r="S1547" s="297"/>
      <c r="T1547" s="3">
        <v>80</v>
      </c>
      <c r="U1547" s="293"/>
    </row>
    <row r="1548" spans="1:21" ht="15" customHeight="1" x14ac:dyDescent="0.35">
      <c r="A1548" s="218"/>
      <c r="B1548" s="94"/>
      <c r="C1548" s="44"/>
      <c r="D1548" s="18"/>
      <c r="E1548" s="18"/>
      <c r="F1548" s="12"/>
      <c r="G1548" s="3"/>
      <c r="H1548" s="39"/>
      <c r="I1548" s="27"/>
      <c r="J1548" s="4"/>
      <c r="K1548" s="4"/>
      <c r="L1548" s="29"/>
      <c r="M1548" s="78"/>
      <c r="N1548" s="78"/>
      <c r="O1548" s="108">
        <f>SUM(O1541:O1547)</f>
        <v>46127.89</v>
      </c>
      <c r="P1548" s="276">
        <f t="shared" ref="P1548:Q1548" si="325">SUM(P1541:P1547)</f>
        <v>73610</v>
      </c>
      <c r="Q1548" s="282">
        <f t="shared" si="325"/>
        <v>16194.2</v>
      </c>
      <c r="R1548" s="282">
        <f>SUM(R1541:R1547)</f>
        <v>89804.2</v>
      </c>
      <c r="S1548" s="286">
        <f>R1548/100*10</f>
        <v>8980.42</v>
      </c>
      <c r="T1548" s="104">
        <v>80</v>
      </c>
      <c r="U1548" s="304"/>
    </row>
    <row r="1549" spans="1:21" ht="15" customHeight="1" x14ac:dyDescent="0.35">
      <c r="A1549" s="218" t="s">
        <v>3831</v>
      </c>
      <c r="B1549" s="3">
        <v>1465</v>
      </c>
      <c r="C1549" s="44">
        <v>10042982</v>
      </c>
      <c r="D1549" s="18" t="s">
        <v>120</v>
      </c>
      <c r="E1549" s="19" t="s">
        <v>2219</v>
      </c>
      <c r="F1549" s="12">
        <f>130-4</f>
        <v>126</v>
      </c>
      <c r="G1549" s="3" t="s">
        <v>0</v>
      </c>
      <c r="H1549" s="49">
        <v>2014</v>
      </c>
      <c r="I1549" s="27" t="s">
        <v>984</v>
      </c>
      <c r="J1549" s="5" t="s">
        <v>1962</v>
      </c>
      <c r="K1549" s="49" t="s">
        <v>2098</v>
      </c>
      <c r="L1549" s="5" t="s">
        <v>2147</v>
      </c>
      <c r="M1549" s="72">
        <f t="shared" si="315"/>
        <v>3317.58</v>
      </c>
      <c r="N1549" s="72">
        <f>O1549/F1549</f>
        <v>26.33</v>
      </c>
      <c r="O1549" s="72">
        <f>3422.9/130*126</f>
        <v>3317.58</v>
      </c>
      <c r="P1549" s="72">
        <v>3440</v>
      </c>
      <c r="Q1549" s="256">
        <f t="shared" ref="Q1549:Q1559" si="326">R1549-P1549</f>
        <v>756.8</v>
      </c>
      <c r="R1549" s="256">
        <f>P1549*1.22</f>
        <v>4196.8</v>
      </c>
      <c r="S1549" s="289"/>
      <c r="T1549" s="3">
        <v>81</v>
      </c>
      <c r="U1549" s="294" t="s">
        <v>2344</v>
      </c>
    </row>
    <row r="1550" spans="1:21" ht="74.25" customHeight="1" x14ac:dyDescent="0.35">
      <c r="A1550" s="218" t="s">
        <v>3832</v>
      </c>
      <c r="B1550" s="3">
        <v>1466</v>
      </c>
      <c r="C1550" s="65">
        <v>10038758</v>
      </c>
      <c r="D1550" s="69" t="s">
        <v>2304</v>
      </c>
      <c r="E1550" s="19" t="s">
        <v>2305</v>
      </c>
      <c r="F1550" s="92">
        <v>6</v>
      </c>
      <c r="G1550" s="3" t="s">
        <v>0</v>
      </c>
      <c r="H1550" s="40">
        <v>41913</v>
      </c>
      <c r="I1550" s="27" t="s">
        <v>984</v>
      </c>
      <c r="J1550" s="41" t="s">
        <v>1962</v>
      </c>
      <c r="K1550" s="4" t="s">
        <v>4227</v>
      </c>
      <c r="L1550" s="29" t="s">
        <v>2147</v>
      </c>
      <c r="M1550" s="78">
        <f t="shared" si="315"/>
        <v>2202.5100000000002</v>
      </c>
      <c r="N1550" s="78">
        <f>O1550/F1550</f>
        <v>367.09</v>
      </c>
      <c r="O1550" s="72">
        <v>2202.5100000000002</v>
      </c>
      <c r="P1550" s="72">
        <v>2340</v>
      </c>
      <c r="Q1550" s="256">
        <f t="shared" si="326"/>
        <v>514.79999999999995</v>
      </c>
      <c r="R1550" s="256">
        <f>P1550*1.22</f>
        <v>2854.8</v>
      </c>
      <c r="S1550" s="297"/>
      <c r="T1550" s="3">
        <v>81</v>
      </c>
      <c r="U1550" s="294"/>
    </row>
    <row r="1551" spans="1:21" ht="15" customHeight="1" x14ac:dyDescent="0.35">
      <c r="A1551" s="218"/>
      <c r="B1551" s="94"/>
      <c r="C1551" s="65"/>
      <c r="D1551" s="69"/>
      <c r="E1551" s="19"/>
      <c r="F1551" s="92"/>
      <c r="G1551" s="3"/>
      <c r="H1551" s="40"/>
      <c r="I1551" s="27"/>
      <c r="J1551" s="41"/>
      <c r="K1551" s="4"/>
      <c r="L1551" s="29"/>
      <c r="M1551" s="78"/>
      <c r="N1551" s="78"/>
      <c r="O1551" s="82">
        <f>SUM(O1549:O1550)</f>
        <v>5520.09</v>
      </c>
      <c r="P1551" s="276">
        <f t="shared" ref="P1551" si="327">SUM(P1549:P1550)</f>
        <v>5780</v>
      </c>
      <c r="Q1551" s="279">
        <f t="shared" si="326"/>
        <v>1271.5999999999999</v>
      </c>
      <c r="R1551" s="282">
        <f>SUM(R1549:R1550)</f>
        <v>7051.6</v>
      </c>
      <c r="S1551" s="286">
        <f>R1551/100*10</f>
        <v>705.16</v>
      </c>
      <c r="T1551" s="104">
        <v>81</v>
      </c>
      <c r="U1551" s="295"/>
    </row>
    <row r="1552" spans="1:21" ht="15" customHeight="1" x14ac:dyDescent="0.35">
      <c r="A1552" s="218" t="s">
        <v>3833</v>
      </c>
      <c r="B1552" s="3">
        <v>1467</v>
      </c>
      <c r="C1552" s="44">
        <v>10119169</v>
      </c>
      <c r="D1552" s="18" t="s">
        <v>1600</v>
      </c>
      <c r="E1552" s="18" t="s">
        <v>2027</v>
      </c>
      <c r="F1552" s="12">
        <v>25</v>
      </c>
      <c r="G1552" s="3" t="s">
        <v>0</v>
      </c>
      <c r="H1552" s="39">
        <v>41431</v>
      </c>
      <c r="I1552" s="27" t="s">
        <v>984</v>
      </c>
      <c r="J1552" s="4" t="s">
        <v>1962</v>
      </c>
      <c r="K1552" s="4" t="s">
        <v>988</v>
      </c>
      <c r="L1552" s="29" t="s">
        <v>977</v>
      </c>
      <c r="M1552" s="78">
        <f t="shared" si="315"/>
        <v>27775</v>
      </c>
      <c r="N1552" s="78">
        <f t="shared" ref="N1552:N1559" si="328">O1552/F1552</f>
        <v>1111</v>
      </c>
      <c r="O1552" s="78">
        <v>27775</v>
      </c>
      <c r="P1552" s="72">
        <v>35290</v>
      </c>
      <c r="Q1552" s="256">
        <f t="shared" si="326"/>
        <v>7763.8</v>
      </c>
      <c r="R1552" s="256">
        <f t="shared" ref="R1552:R1559" si="329">P1552*1.22</f>
        <v>43053.8</v>
      </c>
      <c r="S1552" s="289"/>
      <c r="T1552" s="3">
        <v>82</v>
      </c>
      <c r="U1552" s="292" t="s">
        <v>2345</v>
      </c>
    </row>
    <row r="1553" spans="1:21" ht="15" customHeight="1" x14ac:dyDescent="0.35">
      <c r="A1553" s="218" t="s">
        <v>3834</v>
      </c>
      <c r="B1553" s="3">
        <v>1468</v>
      </c>
      <c r="C1553" s="44">
        <v>10032584</v>
      </c>
      <c r="D1553" s="18" t="s">
        <v>1646</v>
      </c>
      <c r="E1553" s="18" t="s">
        <v>2027</v>
      </c>
      <c r="F1553" s="12">
        <v>58</v>
      </c>
      <c r="G1553" s="3" t="s">
        <v>28</v>
      </c>
      <c r="H1553" s="39">
        <v>41249</v>
      </c>
      <c r="I1553" s="27" t="s">
        <v>984</v>
      </c>
      <c r="J1553" s="4" t="s">
        <v>1962</v>
      </c>
      <c r="K1553" s="4" t="s">
        <v>988</v>
      </c>
      <c r="L1553" s="29" t="s">
        <v>977</v>
      </c>
      <c r="M1553" s="78">
        <f t="shared" si="315"/>
        <v>82695.34</v>
      </c>
      <c r="N1553" s="78">
        <f t="shared" si="328"/>
        <v>1425.78</v>
      </c>
      <c r="O1553" s="78">
        <v>82695.34</v>
      </c>
      <c r="P1553" s="72">
        <v>108040</v>
      </c>
      <c r="Q1553" s="256">
        <f t="shared" si="326"/>
        <v>23768.799999999999</v>
      </c>
      <c r="R1553" s="256">
        <f t="shared" si="329"/>
        <v>131808.79999999999</v>
      </c>
      <c r="S1553" s="296"/>
      <c r="T1553" s="3">
        <v>82</v>
      </c>
      <c r="U1553" s="293"/>
    </row>
    <row r="1554" spans="1:21" ht="15" customHeight="1" x14ac:dyDescent="0.35">
      <c r="A1554" s="218" t="s">
        <v>3835</v>
      </c>
      <c r="B1554" s="3">
        <v>1469</v>
      </c>
      <c r="C1554" s="44">
        <v>10093786</v>
      </c>
      <c r="D1554" s="18" t="s">
        <v>1729</v>
      </c>
      <c r="E1554" s="18" t="s">
        <v>2027</v>
      </c>
      <c r="F1554" s="12">
        <v>78</v>
      </c>
      <c r="G1554" s="3" t="s">
        <v>115</v>
      </c>
      <c r="H1554" s="39">
        <v>39448</v>
      </c>
      <c r="I1554" s="27" t="s">
        <v>984</v>
      </c>
      <c r="J1554" s="4" t="s">
        <v>1962</v>
      </c>
      <c r="K1554" s="4" t="s">
        <v>988</v>
      </c>
      <c r="L1554" s="29" t="s">
        <v>977</v>
      </c>
      <c r="M1554" s="78">
        <f t="shared" si="315"/>
        <v>25350</v>
      </c>
      <c r="N1554" s="78">
        <f t="shared" si="328"/>
        <v>325</v>
      </c>
      <c r="O1554" s="78">
        <v>25350</v>
      </c>
      <c r="P1554" s="72">
        <v>48190</v>
      </c>
      <c r="Q1554" s="256">
        <f t="shared" si="326"/>
        <v>10601.8</v>
      </c>
      <c r="R1554" s="256">
        <f t="shared" si="329"/>
        <v>58791.8</v>
      </c>
      <c r="S1554" s="296"/>
      <c r="T1554" s="3">
        <v>82</v>
      </c>
      <c r="U1554" s="293"/>
    </row>
    <row r="1555" spans="1:21" ht="15" customHeight="1" x14ac:dyDescent="0.35">
      <c r="A1555" s="218" t="s">
        <v>3836</v>
      </c>
      <c r="B1555" s="3">
        <v>1470</v>
      </c>
      <c r="C1555" s="44">
        <v>10115513</v>
      </c>
      <c r="D1555" s="18" t="s">
        <v>1763</v>
      </c>
      <c r="E1555" s="18" t="s">
        <v>2027</v>
      </c>
      <c r="F1555" s="12">
        <v>5</v>
      </c>
      <c r="G1555" s="3" t="s">
        <v>0</v>
      </c>
      <c r="H1555" s="39">
        <v>41484</v>
      </c>
      <c r="I1555" s="27" t="s">
        <v>984</v>
      </c>
      <c r="J1555" s="4" t="s">
        <v>1962</v>
      </c>
      <c r="K1555" s="4" t="s">
        <v>988</v>
      </c>
      <c r="L1555" s="29" t="s">
        <v>977</v>
      </c>
      <c r="M1555" s="78">
        <f t="shared" si="315"/>
        <v>89686.06</v>
      </c>
      <c r="N1555" s="78">
        <f t="shared" si="328"/>
        <v>17937.21</v>
      </c>
      <c r="O1555" s="78">
        <v>89686.06</v>
      </c>
      <c r="P1555" s="72">
        <v>114710</v>
      </c>
      <c r="Q1555" s="256">
        <f t="shared" si="326"/>
        <v>25236.2</v>
      </c>
      <c r="R1555" s="256">
        <f t="shared" si="329"/>
        <v>139946.20000000001</v>
      </c>
      <c r="S1555" s="296"/>
      <c r="T1555" s="3">
        <v>82</v>
      </c>
      <c r="U1555" s="293"/>
    </row>
    <row r="1556" spans="1:21" ht="15" customHeight="1" x14ac:dyDescent="0.35">
      <c r="A1556" s="218" t="s">
        <v>3837</v>
      </c>
      <c r="B1556" s="3">
        <v>1471</v>
      </c>
      <c r="C1556" s="44">
        <v>10093740</v>
      </c>
      <c r="D1556" s="18" t="s">
        <v>1769</v>
      </c>
      <c r="E1556" s="18" t="s">
        <v>2027</v>
      </c>
      <c r="F1556" s="12">
        <v>28</v>
      </c>
      <c r="G1556" s="3" t="s">
        <v>2229</v>
      </c>
      <c r="H1556" s="39">
        <v>42632</v>
      </c>
      <c r="I1556" s="27" t="s">
        <v>984</v>
      </c>
      <c r="J1556" s="4" t="s">
        <v>1962</v>
      </c>
      <c r="K1556" s="4" t="s">
        <v>988</v>
      </c>
      <c r="L1556" s="29" t="s">
        <v>977</v>
      </c>
      <c r="M1556" s="78">
        <f t="shared" si="315"/>
        <v>9940</v>
      </c>
      <c r="N1556" s="78">
        <f t="shared" si="328"/>
        <v>355</v>
      </c>
      <c r="O1556" s="78">
        <v>9940</v>
      </c>
      <c r="P1556" s="72">
        <v>9870</v>
      </c>
      <c r="Q1556" s="256">
        <f t="shared" si="326"/>
        <v>2171.4</v>
      </c>
      <c r="R1556" s="256">
        <f t="shared" si="329"/>
        <v>12041.4</v>
      </c>
      <c r="S1556" s="296"/>
      <c r="T1556" s="3">
        <v>82</v>
      </c>
      <c r="U1556" s="293"/>
    </row>
    <row r="1557" spans="1:21" ht="15" customHeight="1" x14ac:dyDescent="0.35">
      <c r="A1557" s="218" t="s">
        <v>3838</v>
      </c>
      <c r="B1557" s="3">
        <v>1472</v>
      </c>
      <c r="C1557" s="65">
        <v>10148318</v>
      </c>
      <c r="D1557" s="8" t="s">
        <v>1436</v>
      </c>
      <c r="E1557" s="19" t="s">
        <v>2219</v>
      </c>
      <c r="F1557" s="92">
        <v>2</v>
      </c>
      <c r="G1557" s="3" t="s">
        <v>0</v>
      </c>
      <c r="H1557" s="40">
        <v>41548</v>
      </c>
      <c r="I1557" s="27" t="s">
        <v>984</v>
      </c>
      <c r="J1557" s="4" t="s">
        <v>1962</v>
      </c>
      <c r="K1557" s="4" t="s">
        <v>988</v>
      </c>
      <c r="L1557" s="29" t="s">
        <v>977</v>
      </c>
      <c r="M1557" s="78">
        <f t="shared" si="315"/>
        <v>23900</v>
      </c>
      <c r="N1557" s="78">
        <f t="shared" si="328"/>
        <v>11950</v>
      </c>
      <c r="O1557" s="78">
        <v>23900</v>
      </c>
      <c r="P1557" s="72">
        <v>29950</v>
      </c>
      <c r="Q1557" s="256">
        <f t="shared" si="326"/>
        <v>6589</v>
      </c>
      <c r="R1557" s="256">
        <f t="shared" si="329"/>
        <v>36539</v>
      </c>
      <c r="S1557" s="296"/>
      <c r="T1557" s="3">
        <v>82</v>
      </c>
      <c r="U1557" s="293"/>
    </row>
    <row r="1558" spans="1:21" ht="15" customHeight="1" x14ac:dyDescent="0.35">
      <c r="A1558" s="218" t="s">
        <v>3839</v>
      </c>
      <c r="B1558" s="3">
        <v>1473</v>
      </c>
      <c r="C1558" s="65">
        <v>10141214</v>
      </c>
      <c r="D1558" s="8" t="s">
        <v>1449</v>
      </c>
      <c r="E1558" s="19" t="s">
        <v>2219</v>
      </c>
      <c r="F1558" s="92">
        <v>83</v>
      </c>
      <c r="G1558" s="3" t="s">
        <v>0</v>
      </c>
      <c r="H1558" s="40">
        <v>41091</v>
      </c>
      <c r="I1558" s="27" t="s">
        <v>984</v>
      </c>
      <c r="J1558" s="4" t="s">
        <v>1962</v>
      </c>
      <c r="K1558" s="4" t="s">
        <v>988</v>
      </c>
      <c r="L1558" s="29" t="s">
        <v>977</v>
      </c>
      <c r="M1558" s="78">
        <f t="shared" si="315"/>
        <v>500.14</v>
      </c>
      <c r="N1558" s="78">
        <f t="shared" si="328"/>
        <v>6.03</v>
      </c>
      <c r="O1558" s="78">
        <v>500.14</v>
      </c>
      <c r="P1558" s="72">
        <v>660</v>
      </c>
      <c r="Q1558" s="256">
        <f t="shared" si="326"/>
        <v>145.19999999999999</v>
      </c>
      <c r="R1558" s="256">
        <f t="shared" si="329"/>
        <v>805.2</v>
      </c>
      <c r="S1558" s="296"/>
      <c r="T1558" s="3">
        <v>82</v>
      </c>
      <c r="U1558" s="293"/>
    </row>
    <row r="1559" spans="1:21" ht="15" customHeight="1" x14ac:dyDescent="0.35">
      <c r="A1559" s="218" t="s">
        <v>3840</v>
      </c>
      <c r="B1559" s="3">
        <v>1474</v>
      </c>
      <c r="C1559" s="65">
        <v>10139251</v>
      </c>
      <c r="D1559" s="8" t="s">
        <v>1452</v>
      </c>
      <c r="E1559" s="19" t="s">
        <v>2219</v>
      </c>
      <c r="F1559" s="92">
        <f>56-10</f>
        <v>46</v>
      </c>
      <c r="G1559" s="3" t="s">
        <v>0</v>
      </c>
      <c r="H1559" s="40">
        <v>41244</v>
      </c>
      <c r="I1559" s="27" t="s">
        <v>984</v>
      </c>
      <c r="J1559" s="4" t="s">
        <v>1962</v>
      </c>
      <c r="K1559" s="4" t="s">
        <v>988</v>
      </c>
      <c r="L1559" s="29" t="s">
        <v>977</v>
      </c>
      <c r="M1559" s="78">
        <f t="shared" si="315"/>
        <v>1932.39</v>
      </c>
      <c r="N1559" s="78">
        <f t="shared" si="328"/>
        <v>42.01</v>
      </c>
      <c r="O1559" s="78">
        <f>2352.48/56*46</f>
        <v>1932.39</v>
      </c>
      <c r="P1559" s="72">
        <v>2320</v>
      </c>
      <c r="Q1559" s="256">
        <f t="shared" si="326"/>
        <v>510.4</v>
      </c>
      <c r="R1559" s="256">
        <f t="shared" si="329"/>
        <v>2830.4</v>
      </c>
      <c r="S1559" s="297"/>
      <c r="T1559" s="3">
        <v>82</v>
      </c>
      <c r="U1559" s="293"/>
    </row>
    <row r="1560" spans="1:21" ht="15" customHeight="1" x14ac:dyDescent="0.35">
      <c r="A1560" s="218"/>
      <c r="B1560" s="94"/>
      <c r="C1560" s="65"/>
      <c r="D1560" s="8"/>
      <c r="E1560" s="19"/>
      <c r="F1560" s="92"/>
      <c r="G1560" s="3"/>
      <c r="H1560" s="40"/>
      <c r="I1560" s="27"/>
      <c r="J1560" s="4"/>
      <c r="K1560" s="4"/>
      <c r="L1560" s="29"/>
      <c r="M1560" s="78"/>
      <c r="N1560" s="78"/>
      <c r="O1560" s="108">
        <f>SUM(O1552:O1559)</f>
        <v>261778.93</v>
      </c>
      <c r="P1560" s="276">
        <f t="shared" ref="P1560:Q1560" si="330">SUM(P1552:P1559)</f>
        <v>349030</v>
      </c>
      <c r="Q1560" s="282">
        <f t="shared" si="330"/>
        <v>76786.600000000006</v>
      </c>
      <c r="R1560" s="282">
        <f>SUM(R1552:R1559)</f>
        <v>425816.6</v>
      </c>
      <c r="S1560" s="286">
        <f>R1560/100*10</f>
        <v>42581.66</v>
      </c>
      <c r="T1560" s="104">
        <v>82</v>
      </c>
      <c r="U1560" s="304"/>
    </row>
    <row r="1561" spans="1:21" ht="15" customHeight="1" x14ac:dyDescent="0.35">
      <c r="A1561" s="218" t="s">
        <v>3841</v>
      </c>
      <c r="B1561" s="3">
        <v>1475</v>
      </c>
      <c r="C1561" s="44">
        <v>10128888</v>
      </c>
      <c r="D1561" s="18" t="s">
        <v>255</v>
      </c>
      <c r="E1561" s="18" t="s">
        <v>2252</v>
      </c>
      <c r="F1561" s="12">
        <v>60</v>
      </c>
      <c r="G1561" s="3" t="s">
        <v>0</v>
      </c>
      <c r="H1561" s="5">
        <v>40461</v>
      </c>
      <c r="I1561" s="5" t="s">
        <v>2144</v>
      </c>
      <c r="J1561" s="4" t="s">
        <v>1962</v>
      </c>
      <c r="K1561" s="5" t="s">
        <v>988</v>
      </c>
      <c r="L1561" s="5" t="s">
        <v>871</v>
      </c>
      <c r="M1561" s="72">
        <f t="shared" si="315"/>
        <v>14745</v>
      </c>
      <c r="N1561" s="72">
        <f t="shared" ref="N1561:N1570" si="331">O1561/F1561</f>
        <v>245.75</v>
      </c>
      <c r="O1561" s="72">
        <v>14745</v>
      </c>
      <c r="P1561" s="72">
        <v>11510</v>
      </c>
      <c r="Q1561" s="256">
        <f t="shared" ref="Q1561:Q1570" si="332">R1561-P1561</f>
        <v>2532.1999999999998</v>
      </c>
      <c r="R1561" s="256">
        <f t="shared" ref="R1561:R1570" si="333">P1561*1.22</f>
        <v>14042.2</v>
      </c>
      <c r="S1561" s="289"/>
      <c r="T1561" s="3">
        <v>83</v>
      </c>
      <c r="U1561" s="292" t="s">
        <v>2345</v>
      </c>
    </row>
    <row r="1562" spans="1:21" ht="15" customHeight="1" x14ac:dyDescent="0.35">
      <c r="A1562" s="218" t="s">
        <v>3842</v>
      </c>
      <c r="B1562" s="3">
        <v>1476</v>
      </c>
      <c r="C1562" s="44">
        <v>10117724</v>
      </c>
      <c r="D1562" s="18" t="s">
        <v>305</v>
      </c>
      <c r="E1562" s="18" t="s">
        <v>2201</v>
      </c>
      <c r="F1562" s="12">
        <v>1</v>
      </c>
      <c r="G1562" s="3" t="s">
        <v>0</v>
      </c>
      <c r="H1562" s="49" t="s">
        <v>528</v>
      </c>
      <c r="I1562" s="5" t="s">
        <v>999</v>
      </c>
      <c r="J1562" s="4" t="s">
        <v>1962</v>
      </c>
      <c r="K1562" s="5" t="s">
        <v>988</v>
      </c>
      <c r="L1562" s="5" t="s">
        <v>871</v>
      </c>
      <c r="M1562" s="72">
        <f t="shared" si="315"/>
        <v>960.12</v>
      </c>
      <c r="N1562" s="72">
        <f t="shared" si="331"/>
        <v>960.12</v>
      </c>
      <c r="O1562" s="72">
        <v>960.12</v>
      </c>
      <c r="P1562" s="72">
        <v>580</v>
      </c>
      <c r="Q1562" s="256">
        <f t="shared" si="332"/>
        <v>127.6</v>
      </c>
      <c r="R1562" s="256">
        <f t="shared" si="333"/>
        <v>707.6</v>
      </c>
      <c r="S1562" s="296"/>
      <c r="T1562" s="3">
        <v>83</v>
      </c>
      <c r="U1562" s="293"/>
    </row>
    <row r="1563" spans="1:21" ht="15" customHeight="1" x14ac:dyDescent="0.35">
      <c r="A1563" s="218" t="s">
        <v>3843</v>
      </c>
      <c r="B1563" s="3">
        <v>1477</v>
      </c>
      <c r="C1563" s="44">
        <v>10118689</v>
      </c>
      <c r="D1563" s="18" t="s">
        <v>351</v>
      </c>
      <c r="E1563" s="18" t="s">
        <v>2201</v>
      </c>
      <c r="F1563" s="12">
        <v>2</v>
      </c>
      <c r="G1563" s="3" t="s">
        <v>17</v>
      </c>
      <c r="H1563" s="49" t="s">
        <v>528</v>
      </c>
      <c r="I1563" s="5" t="s">
        <v>999</v>
      </c>
      <c r="J1563" s="4" t="s">
        <v>1962</v>
      </c>
      <c r="K1563" s="5" t="s">
        <v>988</v>
      </c>
      <c r="L1563" s="5" t="s">
        <v>871</v>
      </c>
      <c r="M1563" s="72">
        <f t="shared" si="315"/>
        <v>613.22</v>
      </c>
      <c r="N1563" s="72">
        <f t="shared" si="331"/>
        <v>306.61</v>
      </c>
      <c r="O1563" s="72">
        <v>613.22</v>
      </c>
      <c r="P1563" s="72">
        <v>360</v>
      </c>
      <c r="Q1563" s="256">
        <f t="shared" si="332"/>
        <v>79.2</v>
      </c>
      <c r="R1563" s="256">
        <f t="shared" si="333"/>
        <v>439.2</v>
      </c>
      <c r="S1563" s="296"/>
      <c r="T1563" s="3">
        <v>83</v>
      </c>
      <c r="U1563" s="293"/>
    </row>
    <row r="1564" spans="1:21" ht="15" customHeight="1" x14ac:dyDescent="0.35">
      <c r="A1564" s="218" t="s">
        <v>3844</v>
      </c>
      <c r="B1564" s="3">
        <v>1478</v>
      </c>
      <c r="C1564" s="44">
        <v>10118702</v>
      </c>
      <c r="D1564" s="18" t="s">
        <v>403</v>
      </c>
      <c r="E1564" s="18" t="s">
        <v>2201</v>
      </c>
      <c r="F1564" s="12">
        <v>18</v>
      </c>
      <c r="G1564" s="3" t="s">
        <v>17</v>
      </c>
      <c r="H1564" s="49" t="s">
        <v>528</v>
      </c>
      <c r="I1564" s="5" t="s">
        <v>999</v>
      </c>
      <c r="J1564" s="4" t="s">
        <v>1962</v>
      </c>
      <c r="K1564" s="5" t="s">
        <v>988</v>
      </c>
      <c r="L1564" s="5" t="s">
        <v>871</v>
      </c>
      <c r="M1564" s="72">
        <f t="shared" si="315"/>
        <v>1643.82</v>
      </c>
      <c r="N1564" s="72">
        <f t="shared" si="331"/>
        <v>91.32</v>
      </c>
      <c r="O1564" s="72">
        <v>1643.82</v>
      </c>
      <c r="P1564" s="72">
        <v>960</v>
      </c>
      <c r="Q1564" s="256">
        <f t="shared" si="332"/>
        <v>211.2</v>
      </c>
      <c r="R1564" s="256">
        <f t="shared" si="333"/>
        <v>1171.2</v>
      </c>
      <c r="S1564" s="296"/>
      <c r="T1564" s="3">
        <v>83</v>
      </c>
      <c r="U1564" s="293"/>
    </row>
    <row r="1565" spans="1:21" ht="15" customHeight="1" x14ac:dyDescent="0.35">
      <c r="A1565" s="218" t="s">
        <v>3845</v>
      </c>
      <c r="B1565" s="3">
        <v>1479</v>
      </c>
      <c r="C1565" s="18">
        <v>10095257</v>
      </c>
      <c r="D1565" s="18" t="s">
        <v>2249</v>
      </c>
      <c r="E1565" s="18" t="s">
        <v>4085</v>
      </c>
      <c r="F1565" s="12">
        <v>43</v>
      </c>
      <c r="G1565" s="3" t="s">
        <v>0</v>
      </c>
      <c r="H1565" s="3">
        <v>2014</v>
      </c>
      <c r="I1565" s="13" t="s">
        <v>999</v>
      </c>
      <c r="J1565" s="4" t="s">
        <v>1962</v>
      </c>
      <c r="K1565" s="4" t="s">
        <v>988</v>
      </c>
      <c r="L1565" s="5" t="s">
        <v>871</v>
      </c>
      <c r="M1565" s="72">
        <f t="shared" si="315"/>
        <v>38512.089999999997</v>
      </c>
      <c r="N1565" s="72">
        <f t="shared" si="331"/>
        <v>895.63</v>
      </c>
      <c r="O1565" s="72">
        <v>38512.089999999997</v>
      </c>
      <c r="P1565" s="72">
        <v>28110</v>
      </c>
      <c r="Q1565" s="256">
        <f t="shared" si="332"/>
        <v>6184.2</v>
      </c>
      <c r="R1565" s="256">
        <f t="shared" si="333"/>
        <v>34294.199999999997</v>
      </c>
      <c r="S1565" s="296"/>
      <c r="T1565" s="3">
        <v>83</v>
      </c>
      <c r="U1565" s="293"/>
    </row>
    <row r="1566" spans="1:21" ht="15" customHeight="1" x14ac:dyDescent="0.35">
      <c r="A1566" s="218" t="s">
        <v>3846</v>
      </c>
      <c r="B1566" s="3">
        <v>1480</v>
      </c>
      <c r="C1566" s="18">
        <v>10099430</v>
      </c>
      <c r="D1566" s="18" t="s">
        <v>2250</v>
      </c>
      <c r="E1566" s="18" t="s">
        <v>4085</v>
      </c>
      <c r="F1566" s="12">
        <v>52</v>
      </c>
      <c r="G1566" s="3" t="s">
        <v>0</v>
      </c>
      <c r="H1566" s="3">
        <v>2014</v>
      </c>
      <c r="I1566" s="13" t="s">
        <v>999</v>
      </c>
      <c r="J1566" s="4" t="s">
        <v>1962</v>
      </c>
      <c r="K1566" s="4" t="s">
        <v>988</v>
      </c>
      <c r="L1566" s="5" t="s">
        <v>871</v>
      </c>
      <c r="M1566" s="72">
        <f t="shared" si="315"/>
        <v>78436.28</v>
      </c>
      <c r="N1566" s="72">
        <f t="shared" si="331"/>
        <v>1508.39</v>
      </c>
      <c r="O1566" s="72">
        <v>78436.28</v>
      </c>
      <c r="P1566" s="72">
        <v>56080</v>
      </c>
      <c r="Q1566" s="256">
        <f t="shared" si="332"/>
        <v>12337.6</v>
      </c>
      <c r="R1566" s="256">
        <f t="shared" si="333"/>
        <v>68417.600000000006</v>
      </c>
      <c r="S1566" s="296"/>
      <c r="T1566" s="3">
        <v>83</v>
      </c>
      <c r="U1566" s="293"/>
    </row>
    <row r="1567" spans="1:21" ht="15" customHeight="1" x14ac:dyDescent="0.35">
      <c r="A1567" s="218" t="s">
        <v>3847</v>
      </c>
      <c r="B1567" s="3">
        <v>1481</v>
      </c>
      <c r="C1567" s="44">
        <v>10130913</v>
      </c>
      <c r="D1567" s="18" t="s">
        <v>86</v>
      </c>
      <c r="E1567" s="18" t="s">
        <v>2027</v>
      </c>
      <c r="F1567" s="12">
        <v>13</v>
      </c>
      <c r="G1567" s="3" t="s">
        <v>0</v>
      </c>
      <c r="H1567" s="49">
        <v>2014</v>
      </c>
      <c r="I1567" s="27" t="s">
        <v>984</v>
      </c>
      <c r="J1567" s="5" t="s">
        <v>1962</v>
      </c>
      <c r="K1567" s="49" t="s">
        <v>2084</v>
      </c>
      <c r="L1567" s="5" t="s">
        <v>2147</v>
      </c>
      <c r="M1567" s="72">
        <f t="shared" si="315"/>
        <v>2645.5</v>
      </c>
      <c r="N1567" s="72">
        <f t="shared" si="331"/>
        <v>203.5</v>
      </c>
      <c r="O1567" s="72">
        <v>2645.5</v>
      </c>
      <c r="P1567" s="72">
        <v>2660</v>
      </c>
      <c r="Q1567" s="256">
        <f t="shared" si="332"/>
        <v>585.20000000000005</v>
      </c>
      <c r="R1567" s="256">
        <f t="shared" si="333"/>
        <v>3245.2</v>
      </c>
      <c r="S1567" s="296"/>
      <c r="T1567" s="3">
        <v>83</v>
      </c>
      <c r="U1567" s="293"/>
    </row>
    <row r="1568" spans="1:21" ht="15" customHeight="1" x14ac:dyDescent="0.35">
      <c r="A1568" s="218" t="s">
        <v>3848</v>
      </c>
      <c r="B1568" s="3">
        <v>1482</v>
      </c>
      <c r="C1568" s="44">
        <v>10104366</v>
      </c>
      <c r="D1568" s="18" t="s">
        <v>112</v>
      </c>
      <c r="E1568" s="18" t="s">
        <v>2027</v>
      </c>
      <c r="F1568" s="12">
        <v>60</v>
      </c>
      <c r="G1568" s="3" t="s">
        <v>8</v>
      </c>
      <c r="H1568" s="49">
        <v>2014</v>
      </c>
      <c r="I1568" s="27" t="s">
        <v>984</v>
      </c>
      <c r="J1568" s="5" t="s">
        <v>1962</v>
      </c>
      <c r="K1568" s="49" t="s">
        <v>2093</v>
      </c>
      <c r="L1568" s="5" t="s">
        <v>2147</v>
      </c>
      <c r="M1568" s="72">
        <f t="shared" si="315"/>
        <v>1121.1199999999999</v>
      </c>
      <c r="N1568" s="72">
        <f t="shared" si="331"/>
        <v>18.690000000000001</v>
      </c>
      <c r="O1568" s="72">
        <v>1121.1199999999999</v>
      </c>
      <c r="P1568" s="72">
        <v>1190</v>
      </c>
      <c r="Q1568" s="256">
        <f t="shared" si="332"/>
        <v>261.8</v>
      </c>
      <c r="R1568" s="256">
        <f t="shared" si="333"/>
        <v>1451.8</v>
      </c>
      <c r="S1568" s="296"/>
      <c r="T1568" s="3">
        <v>83</v>
      </c>
      <c r="U1568" s="293"/>
    </row>
    <row r="1569" spans="1:21" ht="15" customHeight="1" x14ac:dyDescent="0.35">
      <c r="A1569" s="218" t="s">
        <v>3849</v>
      </c>
      <c r="B1569" s="3">
        <v>1483</v>
      </c>
      <c r="C1569" s="44">
        <v>10135502</v>
      </c>
      <c r="D1569" s="18" t="s">
        <v>128</v>
      </c>
      <c r="E1569" s="18" t="s">
        <v>2027</v>
      </c>
      <c r="F1569" s="12">
        <v>327</v>
      </c>
      <c r="G1569" s="3" t="s">
        <v>0</v>
      </c>
      <c r="H1569" s="49">
        <v>2014</v>
      </c>
      <c r="I1569" s="27" t="s">
        <v>984</v>
      </c>
      <c r="J1569" s="5" t="s">
        <v>1962</v>
      </c>
      <c r="K1569" s="49" t="s">
        <v>2100</v>
      </c>
      <c r="L1569" s="5" t="s">
        <v>2147</v>
      </c>
      <c r="M1569" s="72">
        <f t="shared" si="315"/>
        <v>232.17</v>
      </c>
      <c r="N1569" s="72">
        <f t="shared" si="331"/>
        <v>0.71</v>
      </c>
      <c r="O1569" s="72">
        <v>232.17</v>
      </c>
      <c r="P1569" s="72">
        <v>90</v>
      </c>
      <c r="Q1569" s="256">
        <f t="shared" si="332"/>
        <v>19.8</v>
      </c>
      <c r="R1569" s="256">
        <f t="shared" si="333"/>
        <v>109.8</v>
      </c>
      <c r="S1569" s="296"/>
      <c r="T1569" s="3">
        <v>83</v>
      </c>
      <c r="U1569" s="293"/>
    </row>
    <row r="1570" spans="1:21" ht="15" customHeight="1" x14ac:dyDescent="0.35">
      <c r="A1570" s="218" t="s">
        <v>3850</v>
      </c>
      <c r="B1570" s="3">
        <v>1484</v>
      </c>
      <c r="C1570" s="44">
        <v>10105554</v>
      </c>
      <c r="D1570" s="18" t="s">
        <v>134</v>
      </c>
      <c r="E1570" s="18" t="s">
        <v>2228</v>
      </c>
      <c r="F1570" s="12">
        <f>544.2-247</f>
        <v>297.2</v>
      </c>
      <c r="G1570" s="3" t="s">
        <v>115</v>
      </c>
      <c r="H1570" s="49">
        <v>2014</v>
      </c>
      <c r="I1570" s="27" t="s">
        <v>984</v>
      </c>
      <c r="J1570" s="5" t="s">
        <v>1962</v>
      </c>
      <c r="K1570" s="49" t="s">
        <v>2136</v>
      </c>
      <c r="L1570" s="5" t="s">
        <v>2147</v>
      </c>
      <c r="M1570" s="72">
        <f t="shared" si="315"/>
        <v>31625.05</v>
      </c>
      <c r="N1570" s="72">
        <f t="shared" si="331"/>
        <v>106.41</v>
      </c>
      <c r="O1570" s="72">
        <f>57908.32/544.2*297.2</f>
        <v>31625.05</v>
      </c>
      <c r="P1570" s="72">
        <v>31820</v>
      </c>
      <c r="Q1570" s="256">
        <f t="shared" si="332"/>
        <v>7000.4</v>
      </c>
      <c r="R1570" s="256">
        <f t="shared" si="333"/>
        <v>38820.400000000001</v>
      </c>
      <c r="S1570" s="297"/>
      <c r="T1570" s="3">
        <v>83</v>
      </c>
      <c r="U1570" s="293"/>
    </row>
    <row r="1571" spans="1:21" ht="15" customHeight="1" x14ac:dyDescent="0.35">
      <c r="A1571" s="218"/>
      <c r="B1571" s="94"/>
      <c r="C1571" s="44"/>
      <c r="D1571" s="18"/>
      <c r="E1571" s="18"/>
      <c r="F1571" s="12"/>
      <c r="G1571" s="3"/>
      <c r="H1571" s="49"/>
      <c r="I1571" s="27"/>
      <c r="J1571" s="5"/>
      <c r="K1571" s="49"/>
      <c r="L1571" s="5"/>
      <c r="M1571" s="72"/>
      <c r="N1571" s="72"/>
      <c r="O1571" s="82">
        <f>SUM(O1561:O1570)</f>
        <v>170534.37</v>
      </c>
      <c r="P1571" s="276">
        <f t="shared" ref="P1571:Q1571" si="334">SUM(P1561:P1570)</f>
        <v>133360</v>
      </c>
      <c r="Q1571" s="282">
        <f t="shared" si="334"/>
        <v>29339.200000000001</v>
      </c>
      <c r="R1571" s="282">
        <f>SUM(R1561:R1570)</f>
        <v>162699.20000000001</v>
      </c>
      <c r="S1571" s="286">
        <f>R1571/100*10</f>
        <v>16269.92</v>
      </c>
      <c r="T1571" s="104">
        <v>83</v>
      </c>
      <c r="U1571" s="304"/>
    </row>
    <row r="1572" spans="1:21" ht="15" customHeight="1" x14ac:dyDescent="0.35">
      <c r="A1572" s="218" t="s">
        <v>3851</v>
      </c>
      <c r="B1572" s="3">
        <v>1485</v>
      </c>
      <c r="C1572" s="45">
        <v>10123727</v>
      </c>
      <c r="D1572" s="2" t="s">
        <v>686</v>
      </c>
      <c r="E1572" s="18" t="s">
        <v>711</v>
      </c>
      <c r="F1572" s="7">
        <v>9</v>
      </c>
      <c r="G1572" s="3" t="s">
        <v>0</v>
      </c>
      <c r="H1572" s="5">
        <v>42004</v>
      </c>
      <c r="I1572" s="30" t="s">
        <v>1003</v>
      </c>
      <c r="J1572" s="4" t="s">
        <v>1962</v>
      </c>
      <c r="K1572" s="14" t="s">
        <v>863</v>
      </c>
      <c r="L1572" s="3" t="s">
        <v>871</v>
      </c>
      <c r="M1572" s="72">
        <f t="shared" si="315"/>
        <v>52023.06</v>
      </c>
      <c r="N1572" s="72">
        <f>O1572/F1572</f>
        <v>5780.34</v>
      </c>
      <c r="O1572" s="72">
        <v>52023.06</v>
      </c>
      <c r="P1572" s="72">
        <v>48490</v>
      </c>
      <c r="Q1572" s="256">
        <f>R1572-P1572</f>
        <v>10667.8</v>
      </c>
      <c r="R1572" s="256">
        <f>P1572*1.22</f>
        <v>59157.8</v>
      </c>
      <c r="S1572" s="281"/>
      <c r="T1572" s="3">
        <v>84</v>
      </c>
      <c r="U1572" s="298" t="s">
        <v>2346</v>
      </c>
    </row>
    <row r="1573" spans="1:21" ht="15" customHeight="1" x14ac:dyDescent="0.35">
      <c r="A1573" s="218"/>
      <c r="B1573" s="94"/>
      <c r="C1573" s="45"/>
      <c r="D1573" s="2"/>
      <c r="E1573" s="18"/>
      <c r="F1573" s="7"/>
      <c r="G1573" s="3"/>
      <c r="H1573" s="5"/>
      <c r="I1573" s="30"/>
      <c r="J1573" s="4"/>
      <c r="K1573" s="14"/>
      <c r="L1573" s="3"/>
      <c r="M1573" s="72"/>
      <c r="N1573" s="72"/>
      <c r="O1573" s="82">
        <f>O1572</f>
        <v>52023.06</v>
      </c>
      <c r="P1573" s="276">
        <f t="shared" ref="P1573:Q1573" si="335">P1572</f>
        <v>48490</v>
      </c>
      <c r="Q1573" s="282">
        <f t="shared" si="335"/>
        <v>10667.8</v>
      </c>
      <c r="R1573" s="282">
        <f>R1572</f>
        <v>59157.8</v>
      </c>
      <c r="S1573" s="286">
        <f>R1573/100*10</f>
        <v>5915.78</v>
      </c>
      <c r="T1573" s="104">
        <v>84</v>
      </c>
      <c r="U1573" s="306"/>
    </row>
    <row r="1574" spans="1:21" ht="30.65" customHeight="1" x14ac:dyDescent="0.35">
      <c r="A1574" s="218" t="s">
        <v>3852</v>
      </c>
      <c r="B1574" s="3">
        <v>1486</v>
      </c>
      <c r="C1574" s="44">
        <v>10121918</v>
      </c>
      <c r="D1574" s="18" t="s">
        <v>153</v>
      </c>
      <c r="E1574" s="48" t="s">
        <v>2202</v>
      </c>
      <c r="F1574" s="12">
        <v>1</v>
      </c>
      <c r="G1574" s="3" t="s">
        <v>17</v>
      </c>
      <c r="H1574" s="5">
        <v>42004</v>
      </c>
      <c r="I1574" s="4" t="s">
        <v>1963</v>
      </c>
      <c r="J1574" s="4" t="s">
        <v>1962</v>
      </c>
      <c r="K1574" s="4" t="s">
        <v>1965</v>
      </c>
      <c r="L1574" s="6" t="s">
        <v>1966</v>
      </c>
      <c r="M1574" s="81">
        <f t="shared" ref="M1574:M1620" si="336">O1574</f>
        <v>2747</v>
      </c>
      <c r="N1574" s="81">
        <f>O1574/F1574</f>
        <v>2747</v>
      </c>
      <c r="O1574" s="81">
        <v>2747</v>
      </c>
      <c r="P1574" s="72">
        <v>4120</v>
      </c>
      <c r="Q1574" s="256">
        <f>R1574-P1574</f>
        <v>906.4</v>
      </c>
      <c r="R1574" s="256">
        <f>P1574*1.22</f>
        <v>5026.3999999999996</v>
      </c>
      <c r="S1574" s="289"/>
      <c r="T1574" s="3">
        <v>85</v>
      </c>
      <c r="U1574" s="292" t="s">
        <v>2347</v>
      </c>
    </row>
    <row r="1575" spans="1:21" ht="30.65" customHeight="1" x14ac:dyDescent="0.35">
      <c r="A1575" s="218" t="s">
        <v>3853</v>
      </c>
      <c r="B1575" s="3">
        <v>1487</v>
      </c>
      <c r="C1575" s="44">
        <v>10121948</v>
      </c>
      <c r="D1575" s="18" t="s">
        <v>154</v>
      </c>
      <c r="E1575" s="48" t="s">
        <v>2202</v>
      </c>
      <c r="F1575" s="12">
        <v>1</v>
      </c>
      <c r="G1575" s="3" t="s">
        <v>17</v>
      </c>
      <c r="H1575" s="5">
        <v>42004</v>
      </c>
      <c r="I1575" s="4" t="s">
        <v>1963</v>
      </c>
      <c r="J1575" s="4" t="s">
        <v>1962</v>
      </c>
      <c r="K1575" s="4" t="s">
        <v>1967</v>
      </c>
      <c r="L1575" s="6" t="s">
        <v>1966</v>
      </c>
      <c r="M1575" s="81">
        <f t="shared" si="336"/>
        <v>3505</v>
      </c>
      <c r="N1575" s="81">
        <f>O1575/F1575</f>
        <v>3505</v>
      </c>
      <c r="O1575" s="81">
        <v>3505</v>
      </c>
      <c r="P1575" s="72">
        <v>5250</v>
      </c>
      <c r="Q1575" s="256">
        <f>R1575-P1575</f>
        <v>1155</v>
      </c>
      <c r="R1575" s="256">
        <f>P1575*1.22</f>
        <v>6405</v>
      </c>
      <c r="S1575" s="296"/>
      <c r="T1575" s="3">
        <v>85</v>
      </c>
      <c r="U1575" s="293"/>
    </row>
    <row r="1576" spans="1:21" ht="30.65" customHeight="1" x14ac:dyDescent="0.35">
      <c r="A1576" s="218" t="s">
        <v>3854</v>
      </c>
      <c r="B1576" s="3">
        <v>1488</v>
      </c>
      <c r="C1576" s="44">
        <v>10121964</v>
      </c>
      <c r="D1576" s="18" t="s">
        <v>155</v>
      </c>
      <c r="E1576" s="48" t="s">
        <v>2202</v>
      </c>
      <c r="F1576" s="12">
        <v>1</v>
      </c>
      <c r="G1576" s="3" t="s">
        <v>17</v>
      </c>
      <c r="H1576" s="5">
        <v>42004</v>
      </c>
      <c r="I1576" s="4" t="s">
        <v>1963</v>
      </c>
      <c r="J1576" s="4" t="s">
        <v>1962</v>
      </c>
      <c r="K1576" s="4" t="s">
        <v>1968</v>
      </c>
      <c r="L1576" s="6" t="s">
        <v>1966</v>
      </c>
      <c r="M1576" s="81">
        <f t="shared" si="336"/>
        <v>1996</v>
      </c>
      <c r="N1576" s="81">
        <f>O1576/F1576</f>
        <v>1996</v>
      </c>
      <c r="O1576" s="81">
        <v>1996</v>
      </c>
      <c r="P1576" s="72">
        <v>2990</v>
      </c>
      <c r="Q1576" s="256">
        <f>R1576-P1576</f>
        <v>657.8</v>
      </c>
      <c r="R1576" s="256">
        <f>P1576*1.22</f>
        <v>3647.8</v>
      </c>
      <c r="S1576" s="296"/>
      <c r="T1576" s="3">
        <v>85</v>
      </c>
      <c r="U1576" s="293"/>
    </row>
    <row r="1577" spans="1:21" ht="24.75" customHeight="1" x14ac:dyDescent="0.35">
      <c r="A1577" s="218" t="s">
        <v>3855</v>
      </c>
      <c r="B1577" s="3">
        <v>1489</v>
      </c>
      <c r="C1577" s="44">
        <v>10023849</v>
      </c>
      <c r="D1577" s="18" t="s">
        <v>168</v>
      </c>
      <c r="E1577" s="48" t="s">
        <v>2202</v>
      </c>
      <c r="F1577" s="12">
        <v>4</v>
      </c>
      <c r="G1577" s="3" t="s">
        <v>17</v>
      </c>
      <c r="H1577" s="5">
        <v>42004</v>
      </c>
      <c r="I1577" s="4" t="s">
        <v>1963</v>
      </c>
      <c r="J1577" s="4" t="s">
        <v>1962</v>
      </c>
      <c r="K1577" s="4" t="s">
        <v>1969</v>
      </c>
      <c r="L1577" s="6" t="s">
        <v>1966</v>
      </c>
      <c r="M1577" s="81">
        <f t="shared" si="336"/>
        <v>12480</v>
      </c>
      <c r="N1577" s="81">
        <f>O1577/F1577</f>
        <v>3120</v>
      </c>
      <c r="O1577" s="81">
        <v>12480</v>
      </c>
      <c r="P1577" s="72">
        <v>19420</v>
      </c>
      <c r="Q1577" s="256">
        <f>R1577-P1577</f>
        <v>4272.3999999999996</v>
      </c>
      <c r="R1577" s="256">
        <f>P1577*1.22</f>
        <v>23692.400000000001</v>
      </c>
      <c r="S1577" s="296"/>
      <c r="T1577" s="3">
        <v>85</v>
      </c>
      <c r="U1577" s="293"/>
    </row>
    <row r="1578" spans="1:21" ht="28.5" customHeight="1" x14ac:dyDescent="0.35">
      <c r="A1578" s="218" t="s">
        <v>3856</v>
      </c>
      <c r="B1578" s="3">
        <v>1490</v>
      </c>
      <c r="C1578" s="44">
        <v>10036542</v>
      </c>
      <c r="D1578" s="18" t="s">
        <v>169</v>
      </c>
      <c r="E1578" s="48" t="s">
        <v>2202</v>
      </c>
      <c r="F1578" s="12">
        <v>5</v>
      </c>
      <c r="G1578" s="3" t="s">
        <v>17</v>
      </c>
      <c r="H1578" s="5">
        <v>42004</v>
      </c>
      <c r="I1578" s="4" t="s">
        <v>1963</v>
      </c>
      <c r="J1578" s="4" t="s">
        <v>1962</v>
      </c>
      <c r="K1578" s="4" t="s">
        <v>1970</v>
      </c>
      <c r="L1578" s="6" t="s">
        <v>1966</v>
      </c>
      <c r="M1578" s="81">
        <f t="shared" si="336"/>
        <v>8885</v>
      </c>
      <c r="N1578" s="81">
        <f>O1578/F1578</f>
        <v>1777</v>
      </c>
      <c r="O1578" s="81">
        <v>8885</v>
      </c>
      <c r="P1578" s="72">
        <v>13830</v>
      </c>
      <c r="Q1578" s="256">
        <f>R1578-P1578</f>
        <v>3042.6</v>
      </c>
      <c r="R1578" s="256">
        <f>P1578*1.22</f>
        <v>16872.599999999999</v>
      </c>
      <c r="S1578" s="297"/>
      <c r="T1578" s="3">
        <v>85</v>
      </c>
      <c r="U1578" s="293"/>
    </row>
    <row r="1579" spans="1:21" ht="15" customHeight="1" x14ac:dyDescent="0.35">
      <c r="A1579" s="218"/>
      <c r="B1579" s="94"/>
      <c r="C1579" s="44"/>
      <c r="D1579" s="18"/>
      <c r="E1579" s="48"/>
      <c r="F1579" s="12"/>
      <c r="G1579" s="3"/>
      <c r="H1579" s="5"/>
      <c r="I1579" s="4"/>
      <c r="J1579" s="4"/>
      <c r="K1579" s="4"/>
      <c r="L1579" s="6"/>
      <c r="M1579" s="81"/>
      <c r="N1579" s="81"/>
      <c r="O1579" s="109">
        <f>SUM(O1574:O1578)</f>
        <v>29613</v>
      </c>
      <c r="P1579" s="276">
        <f t="shared" ref="P1579:Q1579" si="337">SUM(P1574:P1578)</f>
        <v>45610</v>
      </c>
      <c r="Q1579" s="282">
        <f t="shared" si="337"/>
        <v>10034.200000000001</v>
      </c>
      <c r="R1579" s="282">
        <f>SUM(R1574:R1578)</f>
        <v>55644.2</v>
      </c>
      <c r="S1579" s="286">
        <f>R1579/100*10</f>
        <v>5564.42</v>
      </c>
      <c r="T1579" s="104">
        <v>85</v>
      </c>
      <c r="U1579" s="304"/>
    </row>
    <row r="1580" spans="1:21" ht="15" customHeight="1" x14ac:dyDescent="0.35">
      <c r="A1580" s="218" t="s">
        <v>3857</v>
      </c>
      <c r="B1580" s="3">
        <v>1491</v>
      </c>
      <c r="C1580" s="44">
        <v>10133779</v>
      </c>
      <c r="D1580" s="18" t="s">
        <v>1689</v>
      </c>
      <c r="E1580" s="18" t="s">
        <v>2027</v>
      </c>
      <c r="F1580" s="12">
        <v>30</v>
      </c>
      <c r="G1580" s="3" t="s">
        <v>8</v>
      </c>
      <c r="H1580" s="39">
        <v>41577</v>
      </c>
      <c r="I1580" s="27" t="s">
        <v>984</v>
      </c>
      <c r="J1580" s="4" t="s">
        <v>1962</v>
      </c>
      <c r="K1580" s="4" t="s">
        <v>988</v>
      </c>
      <c r="L1580" s="29" t="s">
        <v>977</v>
      </c>
      <c r="M1580" s="78">
        <f t="shared" si="336"/>
        <v>47817</v>
      </c>
      <c r="N1580" s="78">
        <f>O1580/F1580</f>
        <v>1593.9</v>
      </c>
      <c r="O1580" s="78">
        <v>47817</v>
      </c>
      <c r="P1580" s="72">
        <v>71030</v>
      </c>
      <c r="Q1580" s="256">
        <f>R1580-P1580</f>
        <v>15626.6</v>
      </c>
      <c r="R1580" s="256">
        <f>P1580*1.22</f>
        <v>86656.6</v>
      </c>
      <c r="S1580" s="289"/>
      <c r="T1580" s="3">
        <v>86</v>
      </c>
      <c r="U1580" s="292" t="s">
        <v>2348</v>
      </c>
    </row>
    <row r="1581" spans="1:21" ht="15" customHeight="1" x14ac:dyDescent="0.35">
      <c r="A1581" s="218" t="s">
        <v>3858</v>
      </c>
      <c r="B1581" s="3">
        <v>1492</v>
      </c>
      <c r="C1581" s="44">
        <v>10137925</v>
      </c>
      <c r="D1581" s="18" t="s">
        <v>1944</v>
      </c>
      <c r="E1581" s="18" t="s">
        <v>2228</v>
      </c>
      <c r="F1581" s="12">
        <v>976</v>
      </c>
      <c r="G1581" s="3" t="s">
        <v>8</v>
      </c>
      <c r="H1581" s="39">
        <v>41627</v>
      </c>
      <c r="I1581" s="27" t="s">
        <v>984</v>
      </c>
      <c r="J1581" s="4" t="s">
        <v>1962</v>
      </c>
      <c r="K1581" s="4" t="s">
        <v>988</v>
      </c>
      <c r="L1581" s="29" t="s">
        <v>977</v>
      </c>
      <c r="M1581" s="78">
        <f t="shared" si="336"/>
        <v>35789.919999999998</v>
      </c>
      <c r="N1581" s="78">
        <f>O1581/F1581</f>
        <v>36.67</v>
      </c>
      <c r="O1581" s="78">
        <v>35789.919999999998</v>
      </c>
      <c r="P1581" s="72">
        <v>53190</v>
      </c>
      <c r="Q1581" s="256">
        <f>R1581-P1581</f>
        <v>11701.8</v>
      </c>
      <c r="R1581" s="256">
        <f>P1581*1.22</f>
        <v>64891.8</v>
      </c>
      <c r="S1581" s="297"/>
      <c r="T1581" s="3">
        <v>86</v>
      </c>
      <c r="U1581" s="293"/>
    </row>
    <row r="1582" spans="1:21" ht="15" customHeight="1" x14ac:dyDescent="0.35">
      <c r="A1582" s="218"/>
      <c r="B1582" s="94"/>
      <c r="C1582" s="44"/>
      <c r="D1582" s="18"/>
      <c r="E1582" s="18"/>
      <c r="F1582" s="12"/>
      <c r="G1582" s="3"/>
      <c r="H1582" s="39"/>
      <c r="I1582" s="27"/>
      <c r="J1582" s="4"/>
      <c r="K1582" s="4"/>
      <c r="L1582" s="29"/>
      <c r="M1582" s="78"/>
      <c r="N1582" s="78"/>
      <c r="O1582" s="201">
        <f>SUM(O1580:O1581)</f>
        <v>83606.92</v>
      </c>
      <c r="P1582" s="276">
        <f t="shared" ref="P1582:Q1582" si="338">SUM(P1580:P1581)</f>
        <v>124220</v>
      </c>
      <c r="Q1582" s="282">
        <f t="shared" si="338"/>
        <v>27328.400000000001</v>
      </c>
      <c r="R1582" s="282">
        <f>SUM(R1580:R1581)</f>
        <v>151548.4</v>
      </c>
      <c r="S1582" s="286">
        <f>R1582/100*10</f>
        <v>15154.84</v>
      </c>
      <c r="T1582" s="104">
        <v>86</v>
      </c>
      <c r="U1582" s="304"/>
    </row>
    <row r="1583" spans="1:21" ht="15" customHeight="1" x14ac:dyDescent="0.35">
      <c r="A1583" s="218" t="s">
        <v>3859</v>
      </c>
      <c r="B1583" s="3">
        <v>1493</v>
      </c>
      <c r="C1583" s="44">
        <v>10121307</v>
      </c>
      <c r="D1583" s="18" t="s">
        <v>1924</v>
      </c>
      <c r="E1583" s="19" t="s">
        <v>2240</v>
      </c>
      <c r="F1583" s="12">
        <v>2</v>
      </c>
      <c r="G1583" s="3" t="s">
        <v>0</v>
      </c>
      <c r="H1583" s="39">
        <v>42704</v>
      </c>
      <c r="I1583" s="27" t="s">
        <v>984</v>
      </c>
      <c r="J1583" s="4" t="s">
        <v>986</v>
      </c>
      <c r="K1583" s="4" t="s">
        <v>988</v>
      </c>
      <c r="L1583" s="29" t="s">
        <v>977</v>
      </c>
      <c r="M1583" s="78">
        <f t="shared" si="336"/>
        <v>42000</v>
      </c>
      <c r="N1583" s="78">
        <f t="shared" ref="N1583:N1587" si="339">O1583/F1583</f>
        <v>21000</v>
      </c>
      <c r="O1583" s="78">
        <v>42000</v>
      </c>
      <c r="P1583" s="72">
        <v>54130</v>
      </c>
      <c r="Q1583" s="256">
        <f>R1583-P1583</f>
        <v>11908.6</v>
      </c>
      <c r="R1583" s="256">
        <f>P1583*1.22</f>
        <v>66038.600000000006</v>
      </c>
      <c r="S1583" s="289"/>
      <c r="T1583" s="3">
        <v>87</v>
      </c>
      <c r="U1583" s="292" t="s">
        <v>2349</v>
      </c>
    </row>
    <row r="1584" spans="1:21" ht="15" customHeight="1" x14ac:dyDescent="0.35">
      <c r="A1584" s="218" t="s">
        <v>3860</v>
      </c>
      <c r="B1584" s="3">
        <v>1494</v>
      </c>
      <c r="C1584" s="44">
        <v>10131222</v>
      </c>
      <c r="D1584" s="18" t="s">
        <v>1925</v>
      </c>
      <c r="E1584" s="19" t="s">
        <v>2240</v>
      </c>
      <c r="F1584" s="12">
        <v>2</v>
      </c>
      <c r="G1584" s="3" t="s">
        <v>0</v>
      </c>
      <c r="H1584" s="39">
        <v>42704</v>
      </c>
      <c r="I1584" s="27" t="s">
        <v>984</v>
      </c>
      <c r="J1584" s="4" t="s">
        <v>986</v>
      </c>
      <c r="K1584" s="4" t="s">
        <v>988</v>
      </c>
      <c r="L1584" s="29" t="s">
        <v>977</v>
      </c>
      <c r="M1584" s="78">
        <f t="shared" si="336"/>
        <v>74000</v>
      </c>
      <c r="N1584" s="78">
        <f t="shared" si="339"/>
        <v>37000</v>
      </c>
      <c r="O1584" s="78">
        <v>74000</v>
      </c>
      <c r="P1584" s="72">
        <v>95360</v>
      </c>
      <c r="Q1584" s="256">
        <f>R1584-P1584</f>
        <v>20979.200000000001</v>
      </c>
      <c r="R1584" s="256">
        <f>P1584*1.22</f>
        <v>116339.2</v>
      </c>
      <c r="S1584" s="296"/>
      <c r="T1584" s="3">
        <v>87</v>
      </c>
      <c r="U1584" s="293"/>
    </row>
    <row r="1585" spans="1:21" ht="15" customHeight="1" x14ac:dyDescent="0.35">
      <c r="A1585" s="218" t="s">
        <v>3861</v>
      </c>
      <c r="B1585" s="3">
        <v>1495</v>
      </c>
      <c r="C1585" s="44">
        <v>10111295</v>
      </c>
      <c r="D1585" s="18" t="s">
        <v>1926</v>
      </c>
      <c r="E1585" s="19" t="s">
        <v>2240</v>
      </c>
      <c r="F1585" s="12">
        <v>10</v>
      </c>
      <c r="G1585" s="3" t="s">
        <v>0</v>
      </c>
      <c r="H1585" s="39">
        <v>42704</v>
      </c>
      <c r="I1585" s="27" t="s">
        <v>984</v>
      </c>
      <c r="J1585" s="4" t="s">
        <v>986</v>
      </c>
      <c r="K1585" s="4" t="s">
        <v>988</v>
      </c>
      <c r="L1585" s="29" t="s">
        <v>977</v>
      </c>
      <c r="M1585" s="78">
        <f t="shared" si="336"/>
        <v>187000</v>
      </c>
      <c r="N1585" s="78">
        <f t="shared" si="339"/>
        <v>18700</v>
      </c>
      <c r="O1585" s="78">
        <v>187000</v>
      </c>
      <c r="P1585" s="72">
        <v>240990</v>
      </c>
      <c r="Q1585" s="256">
        <f>R1585-P1585</f>
        <v>53017.8</v>
      </c>
      <c r="R1585" s="256">
        <f>P1585*1.22</f>
        <v>294007.8</v>
      </c>
      <c r="S1585" s="296"/>
      <c r="T1585" s="3">
        <v>87</v>
      </c>
      <c r="U1585" s="293"/>
    </row>
    <row r="1586" spans="1:21" ht="15" customHeight="1" x14ac:dyDescent="0.35">
      <c r="A1586" s="218" t="s">
        <v>3862</v>
      </c>
      <c r="B1586" s="3">
        <v>1496</v>
      </c>
      <c r="C1586" s="65">
        <v>10142661</v>
      </c>
      <c r="D1586" s="8" t="s">
        <v>1446</v>
      </c>
      <c r="E1586" s="19" t="s">
        <v>2219</v>
      </c>
      <c r="F1586" s="92">
        <v>20</v>
      </c>
      <c r="G1586" s="3" t="s">
        <v>52</v>
      </c>
      <c r="H1586" s="40">
        <v>41091</v>
      </c>
      <c r="I1586" s="27" t="s">
        <v>984</v>
      </c>
      <c r="J1586" s="41" t="s">
        <v>1409</v>
      </c>
      <c r="K1586" s="4" t="s">
        <v>988</v>
      </c>
      <c r="L1586" s="29" t="s">
        <v>977</v>
      </c>
      <c r="M1586" s="78">
        <f t="shared" si="336"/>
        <v>220</v>
      </c>
      <c r="N1586" s="78">
        <f t="shared" si="339"/>
        <v>11</v>
      </c>
      <c r="O1586" s="78">
        <v>220</v>
      </c>
      <c r="P1586" s="72">
        <v>440</v>
      </c>
      <c r="Q1586" s="256">
        <f>R1586-P1586</f>
        <v>96.8</v>
      </c>
      <c r="R1586" s="256">
        <f>P1586*1.22</f>
        <v>536.79999999999995</v>
      </c>
      <c r="S1586" s="296"/>
      <c r="T1586" s="3">
        <v>87</v>
      </c>
      <c r="U1586" s="293"/>
    </row>
    <row r="1587" spans="1:21" ht="15" customHeight="1" x14ac:dyDescent="0.35">
      <c r="A1587" s="218" t="s">
        <v>3863</v>
      </c>
      <c r="B1587" s="3">
        <v>1497</v>
      </c>
      <c r="C1587" s="65">
        <v>10142663</v>
      </c>
      <c r="D1587" s="8" t="s">
        <v>1447</v>
      </c>
      <c r="E1587" s="19" t="s">
        <v>2219</v>
      </c>
      <c r="F1587" s="92">
        <v>21</v>
      </c>
      <c r="G1587" s="3" t="s">
        <v>0</v>
      </c>
      <c r="H1587" s="40">
        <v>41091</v>
      </c>
      <c r="I1587" s="27" t="s">
        <v>984</v>
      </c>
      <c r="J1587" s="41" t="s">
        <v>1409</v>
      </c>
      <c r="K1587" s="4" t="s">
        <v>988</v>
      </c>
      <c r="L1587" s="29" t="s">
        <v>977</v>
      </c>
      <c r="M1587" s="78">
        <f t="shared" si="336"/>
        <v>315</v>
      </c>
      <c r="N1587" s="78">
        <f t="shared" si="339"/>
        <v>15</v>
      </c>
      <c r="O1587" s="78">
        <v>315</v>
      </c>
      <c r="P1587" s="72">
        <v>620</v>
      </c>
      <c r="Q1587" s="256">
        <f>R1587-P1587</f>
        <v>136.4</v>
      </c>
      <c r="R1587" s="256">
        <f>P1587*1.22</f>
        <v>756.4</v>
      </c>
      <c r="S1587" s="297"/>
      <c r="T1587" s="3">
        <v>87</v>
      </c>
      <c r="U1587" s="293"/>
    </row>
    <row r="1588" spans="1:21" ht="15" customHeight="1" x14ac:dyDescent="0.35">
      <c r="A1588" s="218"/>
      <c r="B1588" s="94"/>
      <c r="C1588" s="65"/>
      <c r="D1588" s="8"/>
      <c r="E1588" s="19"/>
      <c r="F1588" s="92"/>
      <c r="G1588" s="3"/>
      <c r="H1588" s="40"/>
      <c r="I1588" s="27"/>
      <c r="J1588" s="41"/>
      <c r="K1588" s="4"/>
      <c r="L1588" s="29"/>
      <c r="M1588" s="78"/>
      <c r="N1588" s="78"/>
      <c r="O1588" s="108">
        <f>SUM(O1583:O1587)</f>
        <v>303535</v>
      </c>
      <c r="P1588" s="276">
        <f t="shared" ref="P1588:Q1588" si="340">SUM(P1583:P1587)</f>
        <v>391540</v>
      </c>
      <c r="Q1588" s="282">
        <f t="shared" si="340"/>
        <v>86138.8</v>
      </c>
      <c r="R1588" s="282">
        <f>SUM(R1583:R1587)</f>
        <v>477678.8</v>
      </c>
      <c r="S1588" s="286">
        <f>R1588/100*10</f>
        <v>47767.88</v>
      </c>
      <c r="T1588" s="104">
        <v>87</v>
      </c>
      <c r="U1588" s="304"/>
    </row>
    <row r="1589" spans="1:21" ht="15" customHeight="1" x14ac:dyDescent="0.35">
      <c r="A1589" s="218" t="s">
        <v>3864</v>
      </c>
      <c r="B1589" s="226">
        <v>1498</v>
      </c>
      <c r="C1589" s="44">
        <v>10106516</v>
      </c>
      <c r="D1589" s="18" t="s">
        <v>303</v>
      </c>
      <c r="E1589" s="18" t="s">
        <v>2201</v>
      </c>
      <c r="F1589" s="12">
        <v>1</v>
      </c>
      <c r="G1589" s="3" t="s">
        <v>28</v>
      </c>
      <c r="H1589" s="5">
        <v>42824</v>
      </c>
      <c r="I1589" s="5" t="s">
        <v>999</v>
      </c>
      <c r="J1589" s="4" t="s">
        <v>1962</v>
      </c>
      <c r="K1589" s="5" t="s">
        <v>988</v>
      </c>
      <c r="L1589" s="5" t="s">
        <v>871</v>
      </c>
      <c r="M1589" s="72">
        <f t="shared" si="336"/>
        <v>67000</v>
      </c>
      <c r="N1589" s="72">
        <f t="shared" ref="N1589:N1594" si="341">O1589/F1589</f>
        <v>67000</v>
      </c>
      <c r="O1589" s="72">
        <v>67000</v>
      </c>
      <c r="P1589" s="72">
        <v>55480</v>
      </c>
      <c r="Q1589" s="256">
        <f t="shared" ref="Q1589:Q1594" si="342">R1589-P1589</f>
        <v>12205.6</v>
      </c>
      <c r="R1589" s="256">
        <f t="shared" ref="R1589:R1594" si="343">P1589*1.22</f>
        <v>67685.600000000006</v>
      </c>
      <c r="S1589" s="289"/>
      <c r="T1589" s="3">
        <v>88</v>
      </c>
      <c r="U1589" s="292" t="s">
        <v>2349</v>
      </c>
    </row>
    <row r="1590" spans="1:21" ht="15" customHeight="1" x14ac:dyDescent="0.35">
      <c r="A1590" s="218" t="s">
        <v>3865</v>
      </c>
      <c r="B1590" s="3">
        <v>1499</v>
      </c>
      <c r="C1590" s="44">
        <v>10106623</v>
      </c>
      <c r="D1590" s="18" t="s">
        <v>304</v>
      </c>
      <c r="E1590" s="18" t="s">
        <v>2201</v>
      </c>
      <c r="F1590" s="12">
        <v>1</v>
      </c>
      <c r="G1590" s="3" t="s">
        <v>28</v>
      </c>
      <c r="H1590" s="5">
        <v>42824</v>
      </c>
      <c r="I1590" s="5" t="s">
        <v>999</v>
      </c>
      <c r="J1590" s="4" t="s">
        <v>1962</v>
      </c>
      <c r="K1590" s="5" t="s">
        <v>988</v>
      </c>
      <c r="L1590" s="5" t="s">
        <v>871</v>
      </c>
      <c r="M1590" s="72">
        <f t="shared" si="336"/>
        <v>99800</v>
      </c>
      <c r="N1590" s="72">
        <f t="shared" si="341"/>
        <v>99800</v>
      </c>
      <c r="O1590" s="72">
        <v>99800</v>
      </c>
      <c r="P1590" s="72">
        <v>82640</v>
      </c>
      <c r="Q1590" s="256">
        <f t="shared" si="342"/>
        <v>18180.8</v>
      </c>
      <c r="R1590" s="256">
        <f t="shared" si="343"/>
        <v>100820.8</v>
      </c>
      <c r="S1590" s="296"/>
      <c r="T1590" s="3">
        <v>88</v>
      </c>
      <c r="U1590" s="293"/>
    </row>
    <row r="1591" spans="1:21" ht="15" customHeight="1" x14ac:dyDescent="0.35">
      <c r="A1591" s="218" t="s">
        <v>3866</v>
      </c>
      <c r="B1591" s="3">
        <v>1500</v>
      </c>
      <c r="C1591" s="45">
        <v>10051474</v>
      </c>
      <c r="D1591" s="2" t="s">
        <v>600</v>
      </c>
      <c r="E1591" s="18" t="s">
        <v>2236</v>
      </c>
      <c r="F1591" s="7">
        <v>2</v>
      </c>
      <c r="G1591" s="3" t="s">
        <v>0</v>
      </c>
      <c r="H1591" s="5">
        <v>42004</v>
      </c>
      <c r="I1591" s="30" t="s">
        <v>1003</v>
      </c>
      <c r="J1591" s="4" t="s">
        <v>1962</v>
      </c>
      <c r="K1591" s="14" t="s">
        <v>763</v>
      </c>
      <c r="L1591" s="3" t="s">
        <v>871</v>
      </c>
      <c r="M1591" s="72">
        <f t="shared" si="336"/>
        <v>1510.6</v>
      </c>
      <c r="N1591" s="72">
        <f t="shared" si="341"/>
        <v>755.3</v>
      </c>
      <c r="O1591" s="72">
        <v>1510.6</v>
      </c>
      <c r="P1591" s="72">
        <v>1560</v>
      </c>
      <c r="Q1591" s="256">
        <f t="shared" si="342"/>
        <v>343.2</v>
      </c>
      <c r="R1591" s="256">
        <f t="shared" si="343"/>
        <v>1903.2</v>
      </c>
      <c r="S1591" s="296"/>
      <c r="T1591" s="3">
        <v>88</v>
      </c>
      <c r="U1591" s="293"/>
    </row>
    <row r="1592" spans="1:21" ht="15.75" customHeight="1" x14ac:dyDescent="0.35">
      <c r="A1592" s="218" t="s">
        <v>3867</v>
      </c>
      <c r="B1592" s="288">
        <v>1501</v>
      </c>
      <c r="C1592" s="45">
        <v>10057233</v>
      </c>
      <c r="D1592" s="2" t="s">
        <v>615</v>
      </c>
      <c r="E1592" s="18" t="s">
        <v>2236</v>
      </c>
      <c r="F1592" s="12">
        <v>1</v>
      </c>
      <c r="G1592" s="3" t="s">
        <v>0</v>
      </c>
      <c r="H1592" s="5">
        <v>42004</v>
      </c>
      <c r="I1592" s="30" t="s">
        <v>1003</v>
      </c>
      <c r="J1592" s="4" t="s">
        <v>1962</v>
      </c>
      <c r="K1592" s="14" t="s">
        <v>770</v>
      </c>
      <c r="L1592" s="3" t="s">
        <v>871</v>
      </c>
      <c r="M1592" s="96">
        <f t="shared" si="336"/>
        <v>1980</v>
      </c>
      <c r="N1592" s="96">
        <f t="shared" si="341"/>
        <v>1980</v>
      </c>
      <c r="O1592" s="72">
        <v>1980</v>
      </c>
      <c r="P1592" s="72">
        <v>2040</v>
      </c>
      <c r="Q1592" s="256">
        <f t="shared" si="342"/>
        <v>448.8</v>
      </c>
      <c r="R1592" s="256">
        <f t="shared" si="343"/>
        <v>2488.8000000000002</v>
      </c>
      <c r="S1592" s="296"/>
      <c r="T1592" s="3">
        <v>88</v>
      </c>
      <c r="U1592" s="293"/>
    </row>
    <row r="1593" spans="1:21" ht="32.25" customHeight="1" x14ac:dyDescent="0.35">
      <c r="A1593" s="218" t="s">
        <v>3868</v>
      </c>
      <c r="B1593" s="3">
        <v>1502</v>
      </c>
      <c r="C1593" s="45">
        <v>10014792</v>
      </c>
      <c r="D1593" s="2" t="s">
        <v>695</v>
      </c>
      <c r="E1593" s="18" t="s">
        <v>711</v>
      </c>
      <c r="F1593" s="7">
        <v>2</v>
      </c>
      <c r="G1593" s="3" t="s">
        <v>0</v>
      </c>
      <c r="H1593" s="5">
        <v>42004</v>
      </c>
      <c r="I1593" s="30" t="s">
        <v>1003</v>
      </c>
      <c r="J1593" s="4" t="s">
        <v>1962</v>
      </c>
      <c r="K1593" s="14" t="s">
        <v>865</v>
      </c>
      <c r="L1593" s="3" t="s">
        <v>871</v>
      </c>
      <c r="M1593" s="72">
        <f t="shared" si="336"/>
        <v>130010.04</v>
      </c>
      <c r="N1593" s="72">
        <f t="shared" si="341"/>
        <v>65005.02</v>
      </c>
      <c r="O1593" s="72">
        <v>130010.04</v>
      </c>
      <c r="P1593" s="72">
        <v>120050</v>
      </c>
      <c r="Q1593" s="256">
        <f t="shared" si="342"/>
        <v>26411</v>
      </c>
      <c r="R1593" s="256">
        <f t="shared" si="343"/>
        <v>146461</v>
      </c>
      <c r="S1593" s="296"/>
      <c r="T1593" s="3">
        <v>88</v>
      </c>
      <c r="U1593" s="293"/>
    </row>
    <row r="1594" spans="1:21" ht="24.75" customHeight="1" x14ac:dyDescent="0.35">
      <c r="A1594" s="218" t="s">
        <v>3869</v>
      </c>
      <c r="B1594" s="3">
        <v>1503</v>
      </c>
      <c r="C1594" s="45">
        <v>10097882</v>
      </c>
      <c r="D1594" s="2" t="s">
        <v>696</v>
      </c>
      <c r="E1594" s="18" t="s">
        <v>711</v>
      </c>
      <c r="F1594" s="7">
        <v>1</v>
      </c>
      <c r="G1594" s="3" t="s">
        <v>0</v>
      </c>
      <c r="H1594" s="5">
        <v>42004</v>
      </c>
      <c r="I1594" s="30" t="s">
        <v>1003</v>
      </c>
      <c r="J1594" s="4" t="s">
        <v>1962</v>
      </c>
      <c r="K1594" s="14" t="s">
        <v>866</v>
      </c>
      <c r="L1594" s="3" t="s">
        <v>871</v>
      </c>
      <c r="M1594" s="72">
        <f t="shared" si="336"/>
        <v>22852</v>
      </c>
      <c r="N1594" s="72">
        <f t="shared" si="341"/>
        <v>22852</v>
      </c>
      <c r="O1594" s="72">
        <v>22852</v>
      </c>
      <c r="P1594" s="72">
        <v>23560</v>
      </c>
      <c r="Q1594" s="256">
        <f t="shared" si="342"/>
        <v>5183.2</v>
      </c>
      <c r="R1594" s="256">
        <f t="shared" si="343"/>
        <v>28743.200000000001</v>
      </c>
      <c r="S1594" s="297"/>
      <c r="T1594" s="3">
        <v>88</v>
      </c>
      <c r="U1594" s="293"/>
    </row>
    <row r="1595" spans="1:21" ht="15" customHeight="1" x14ac:dyDescent="0.35">
      <c r="A1595" s="218"/>
      <c r="B1595" s="94"/>
      <c r="C1595" s="45"/>
      <c r="D1595" s="2"/>
      <c r="E1595" s="18"/>
      <c r="F1595" s="7"/>
      <c r="G1595" s="3"/>
      <c r="H1595" s="5"/>
      <c r="I1595" s="30"/>
      <c r="J1595" s="4"/>
      <c r="K1595" s="14"/>
      <c r="L1595" s="3"/>
      <c r="M1595" s="72"/>
      <c r="N1595" s="72"/>
      <c r="O1595" s="203">
        <f>SUM(O1589:O1594)</f>
        <v>323152.64000000001</v>
      </c>
      <c r="P1595" s="276">
        <f t="shared" ref="P1595:Q1595" si="344">SUM(P1589:P1594)</f>
        <v>285330</v>
      </c>
      <c r="Q1595" s="282">
        <f t="shared" si="344"/>
        <v>62772.6</v>
      </c>
      <c r="R1595" s="282">
        <f>SUM(R1589:R1594)</f>
        <v>348102.6</v>
      </c>
      <c r="S1595" s="286">
        <f>R1595/100*10</f>
        <v>34810.26</v>
      </c>
      <c r="T1595" s="104">
        <v>88</v>
      </c>
      <c r="U1595" s="304"/>
    </row>
    <row r="1596" spans="1:21" ht="15" customHeight="1" x14ac:dyDescent="0.35">
      <c r="A1596" s="218" t="s">
        <v>3870</v>
      </c>
      <c r="B1596" s="3">
        <v>1504</v>
      </c>
      <c r="C1596" s="44">
        <v>10142585</v>
      </c>
      <c r="D1596" s="70" t="s">
        <v>548</v>
      </c>
      <c r="E1596" s="18" t="s">
        <v>2223</v>
      </c>
      <c r="F1596" s="12">
        <v>17</v>
      </c>
      <c r="G1596" s="12" t="s">
        <v>0</v>
      </c>
      <c r="H1596" s="5">
        <v>41913</v>
      </c>
      <c r="I1596" s="5" t="s">
        <v>989</v>
      </c>
      <c r="J1596" s="4" t="s">
        <v>1962</v>
      </c>
      <c r="K1596" s="5" t="s">
        <v>995</v>
      </c>
      <c r="L1596" s="5" t="s">
        <v>997</v>
      </c>
      <c r="M1596" s="72">
        <f t="shared" si="336"/>
        <v>217272.95999999999</v>
      </c>
      <c r="N1596" s="72">
        <f>O1596/F1596</f>
        <v>12780.76</v>
      </c>
      <c r="O1596" s="72">
        <v>217272.95999999999</v>
      </c>
      <c r="P1596" s="72">
        <v>79870</v>
      </c>
      <c r="Q1596" s="256">
        <f>R1596-P1596</f>
        <v>17571.400000000001</v>
      </c>
      <c r="R1596" s="256">
        <f>P1596*1.22</f>
        <v>97441.4</v>
      </c>
      <c r="S1596" s="281"/>
      <c r="T1596" s="3">
        <v>89</v>
      </c>
      <c r="U1596" s="298" t="s">
        <v>2350</v>
      </c>
    </row>
    <row r="1597" spans="1:21" ht="15" customHeight="1" x14ac:dyDescent="0.35">
      <c r="A1597" s="218"/>
      <c r="B1597" s="94"/>
      <c r="C1597" s="44"/>
      <c r="D1597" s="70"/>
      <c r="E1597" s="18"/>
      <c r="F1597" s="12"/>
      <c r="G1597" s="12"/>
      <c r="H1597" s="5"/>
      <c r="I1597" s="5"/>
      <c r="J1597" s="4"/>
      <c r="K1597" s="5"/>
      <c r="L1597" s="5"/>
      <c r="M1597" s="72"/>
      <c r="N1597" s="72"/>
      <c r="O1597" s="82">
        <f>O1596</f>
        <v>217272.95999999999</v>
      </c>
      <c r="P1597" s="276">
        <f t="shared" ref="P1597:Q1597" si="345">P1596</f>
        <v>79870</v>
      </c>
      <c r="Q1597" s="282">
        <f t="shared" si="345"/>
        <v>17571.400000000001</v>
      </c>
      <c r="R1597" s="282">
        <f>R1596</f>
        <v>97441.4</v>
      </c>
      <c r="S1597" s="286">
        <f>R1597/100*10</f>
        <v>9744.14</v>
      </c>
      <c r="T1597" s="104">
        <v>89</v>
      </c>
      <c r="U1597" s="306"/>
    </row>
    <row r="1598" spans="1:21" ht="60" customHeight="1" x14ac:dyDescent="0.35">
      <c r="A1598" s="218" t="s">
        <v>3871</v>
      </c>
      <c r="B1598" s="3">
        <v>1505</v>
      </c>
      <c r="C1598" s="44">
        <v>102001451</v>
      </c>
      <c r="D1598" s="18" t="s">
        <v>1458</v>
      </c>
      <c r="E1598" s="19" t="s">
        <v>2219</v>
      </c>
      <c r="F1598" s="12">
        <v>1</v>
      </c>
      <c r="G1598" s="3" t="s">
        <v>0</v>
      </c>
      <c r="H1598" s="20">
        <v>2015</v>
      </c>
      <c r="I1598" s="27" t="s">
        <v>984</v>
      </c>
      <c r="J1598" s="4" t="s">
        <v>1962</v>
      </c>
      <c r="K1598" s="4" t="s">
        <v>988</v>
      </c>
      <c r="L1598" s="29" t="s">
        <v>977</v>
      </c>
      <c r="M1598" s="78">
        <f t="shared" si="336"/>
        <v>477451.94</v>
      </c>
      <c r="N1598" s="78">
        <f>O1598/F1598</f>
        <v>477451.94</v>
      </c>
      <c r="O1598" s="78">
        <v>477451.94</v>
      </c>
      <c r="P1598" s="72">
        <v>584630</v>
      </c>
      <c r="Q1598" s="256">
        <f>R1598-P1598</f>
        <v>128618.6</v>
      </c>
      <c r="R1598" s="256">
        <f>P1598*1.22</f>
        <v>713248.6</v>
      </c>
      <c r="S1598" s="281"/>
      <c r="T1598" s="3">
        <v>90</v>
      </c>
      <c r="U1598" s="292" t="s">
        <v>4182</v>
      </c>
    </row>
    <row r="1599" spans="1:21" ht="15" customHeight="1" x14ac:dyDescent="0.35">
      <c r="A1599" s="218"/>
      <c r="B1599" s="94"/>
      <c r="C1599" s="44"/>
      <c r="D1599" s="18"/>
      <c r="E1599" s="18"/>
      <c r="F1599" s="12"/>
      <c r="G1599" s="3"/>
      <c r="H1599" s="20"/>
      <c r="I1599" s="27"/>
      <c r="J1599" s="4"/>
      <c r="K1599" s="4"/>
      <c r="L1599" s="29"/>
      <c r="M1599" s="78"/>
      <c r="N1599" s="78"/>
      <c r="O1599" s="108">
        <f>O1598</f>
        <v>477451.94</v>
      </c>
      <c r="P1599" s="276">
        <f t="shared" ref="P1599:Q1599" si="346">P1598</f>
        <v>584630</v>
      </c>
      <c r="Q1599" s="282">
        <f t="shared" si="346"/>
        <v>128618.6</v>
      </c>
      <c r="R1599" s="282">
        <f>R1598</f>
        <v>713248.6</v>
      </c>
      <c r="S1599" s="286">
        <f>R1599/100*10</f>
        <v>71324.86</v>
      </c>
      <c r="T1599" s="104">
        <v>90</v>
      </c>
      <c r="U1599" s="304"/>
    </row>
    <row r="1600" spans="1:21" ht="15" customHeight="1" x14ac:dyDescent="0.35">
      <c r="A1600" s="218" t="s">
        <v>3877</v>
      </c>
      <c r="B1600" s="3">
        <v>1506</v>
      </c>
      <c r="C1600" s="44">
        <v>10108129</v>
      </c>
      <c r="D1600" s="18" t="s">
        <v>1053</v>
      </c>
      <c r="E1600" s="18" t="s">
        <v>2027</v>
      </c>
      <c r="F1600" s="12">
        <v>2</v>
      </c>
      <c r="G1600" s="3" t="s">
        <v>0</v>
      </c>
      <c r="H1600" s="39">
        <v>42004</v>
      </c>
      <c r="I1600" s="27" t="s">
        <v>984</v>
      </c>
      <c r="J1600" s="4" t="s">
        <v>1962</v>
      </c>
      <c r="K1600" s="4" t="s">
        <v>988</v>
      </c>
      <c r="L1600" s="29" t="s">
        <v>977</v>
      </c>
      <c r="M1600" s="78">
        <f t="shared" si="336"/>
        <v>61193.83</v>
      </c>
      <c r="N1600" s="78">
        <f t="shared" ref="N1600:N1602" si="347">O1600/F1600</f>
        <v>30596.92</v>
      </c>
      <c r="O1600" s="78">
        <v>61193.83</v>
      </c>
      <c r="P1600" s="72">
        <v>75710</v>
      </c>
      <c r="Q1600" s="256">
        <f>R1600-P1600</f>
        <v>16656.2</v>
      </c>
      <c r="R1600" s="256">
        <f>P1600*1.22</f>
        <v>92366.2</v>
      </c>
      <c r="S1600" s="289"/>
      <c r="T1600" s="3">
        <v>91</v>
      </c>
      <c r="U1600" s="294" t="s">
        <v>4259</v>
      </c>
    </row>
    <row r="1601" spans="1:21" ht="15" customHeight="1" x14ac:dyDescent="0.35">
      <c r="A1601" s="218" t="s">
        <v>3878</v>
      </c>
      <c r="B1601" s="3">
        <v>1507</v>
      </c>
      <c r="C1601" s="44">
        <v>10108139</v>
      </c>
      <c r="D1601" s="18" t="s">
        <v>1054</v>
      </c>
      <c r="E1601" s="18" t="s">
        <v>2027</v>
      </c>
      <c r="F1601" s="12">
        <v>1</v>
      </c>
      <c r="G1601" s="3" t="s">
        <v>0</v>
      </c>
      <c r="H1601" s="39">
        <v>42004</v>
      </c>
      <c r="I1601" s="27" t="s">
        <v>984</v>
      </c>
      <c r="J1601" s="4" t="s">
        <v>1962</v>
      </c>
      <c r="K1601" s="4" t="s">
        <v>988</v>
      </c>
      <c r="L1601" s="29" t="s">
        <v>977</v>
      </c>
      <c r="M1601" s="78">
        <f t="shared" si="336"/>
        <v>33382.449999999997</v>
      </c>
      <c r="N1601" s="78">
        <f t="shared" si="347"/>
        <v>33382.449999999997</v>
      </c>
      <c r="O1601" s="78">
        <v>33382.449999999997</v>
      </c>
      <c r="P1601" s="72">
        <v>41300</v>
      </c>
      <c r="Q1601" s="256">
        <f>R1601-P1601</f>
        <v>9086</v>
      </c>
      <c r="R1601" s="256">
        <f>P1601*1.22</f>
        <v>50386</v>
      </c>
      <c r="S1601" s="296"/>
      <c r="T1601" s="3">
        <v>91</v>
      </c>
      <c r="U1601" s="294"/>
    </row>
    <row r="1602" spans="1:21" ht="15" customHeight="1" x14ac:dyDescent="0.35">
      <c r="A1602" s="218" t="s">
        <v>3879</v>
      </c>
      <c r="B1602" s="3">
        <v>1508</v>
      </c>
      <c r="C1602" s="44">
        <v>10108055</v>
      </c>
      <c r="D1602" s="18" t="s">
        <v>1055</v>
      </c>
      <c r="E1602" s="18" t="s">
        <v>2027</v>
      </c>
      <c r="F1602" s="12">
        <v>2</v>
      </c>
      <c r="G1602" s="3" t="s">
        <v>0</v>
      </c>
      <c r="H1602" s="39">
        <v>42004</v>
      </c>
      <c r="I1602" s="27" t="s">
        <v>984</v>
      </c>
      <c r="J1602" s="4" t="s">
        <v>1962</v>
      </c>
      <c r="K1602" s="4" t="s">
        <v>988</v>
      </c>
      <c r="L1602" s="29" t="s">
        <v>977</v>
      </c>
      <c r="M1602" s="78">
        <f t="shared" si="336"/>
        <v>70152.259999999995</v>
      </c>
      <c r="N1602" s="78">
        <f t="shared" si="347"/>
        <v>35076.129999999997</v>
      </c>
      <c r="O1602" s="78">
        <v>70152.259999999995</v>
      </c>
      <c r="P1602" s="72">
        <v>86790</v>
      </c>
      <c r="Q1602" s="256">
        <f>R1602-P1602</f>
        <v>19093.8</v>
      </c>
      <c r="R1602" s="256">
        <f>P1602*1.22</f>
        <v>105883.8</v>
      </c>
      <c r="S1602" s="297"/>
      <c r="T1602" s="3">
        <v>91</v>
      </c>
      <c r="U1602" s="294"/>
    </row>
    <row r="1603" spans="1:21" ht="15" customHeight="1" x14ac:dyDescent="0.35">
      <c r="A1603" s="218"/>
      <c r="B1603" s="94"/>
      <c r="C1603" s="44"/>
      <c r="D1603" s="18"/>
      <c r="E1603" s="18"/>
      <c r="F1603" s="12"/>
      <c r="G1603" s="3"/>
      <c r="H1603" s="39"/>
      <c r="I1603" s="27"/>
      <c r="J1603" s="4"/>
      <c r="K1603" s="4"/>
      <c r="L1603" s="29"/>
      <c r="M1603" s="78"/>
      <c r="N1603" s="78"/>
      <c r="O1603" s="108">
        <f>SUM(O1600:O1602)</f>
        <v>164728.54</v>
      </c>
      <c r="P1603" s="276">
        <f t="shared" ref="P1603:Q1603" si="348">SUM(P1600:P1602)</f>
        <v>203800</v>
      </c>
      <c r="Q1603" s="282">
        <f t="shared" si="348"/>
        <v>44836</v>
      </c>
      <c r="R1603" s="282">
        <f>SUM(R1600:R1602)</f>
        <v>248636</v>
      </c>
      <c r="S1603" s="286">
        <f>R1603/100*10</f>
        <v>24863.599999999999</v>
      </c>
      <c r="T1603" s="104">
        <v>91</v>
      </c>
      <c r="U1603" s="295"/>
    </row>
    <row r="1604" spans="1:21" ht="15" customHeight="1" x14ac:dyDescent="0.35">
      <c r="A1604" s="218" t="s">
        <v>3881</v>
      </c>
      <c r="B1604" s="3">
        <v>1509</v>
      </c>
      <c r="C1604" s="44">
        <v>102002300</v>
      </c>
      <c r="D1604" s="18" t="s">
        <v>429</v>
      </c>
      <c r="E1604" s="18" t="s">
        <v>2237</v>
      </c>
      <c r="F1604" s="12">
        <v>1</v>
      </c>
      <c r="G1604" s="3" t="s">
        <v>0</v>
      </c>
      <c r="H1604" s="49" t="s">
        <v>2195</v>
      </c>
      <c r="I1604" s="5" t="s">
        <v>989</v>
      </c>
      <c r="J1604" s="4" t="s">
        <v>1962</v>
      </c>
      <c r="K1604" s="5" t="s">
        <v>988</v>
      </c>
      <c r="L1604" s="29" t="s">
        <v>2143</v>
      </c>
      <c r="M1604" s="78">
        <f t="shared" si="336"/>
        <v>17448.79</v>
      </c>
      <c r="N1604" s="78">
        <f t="shared" ref="N1604:N1626" si="349">O1604/F1604</f>
        <v>17448.79</v>
      </c>
      <c r="O1604" s="78">
        <v>17448.79</v>
      </c>
      <c r="P1604" s="72">
        <v>9750</v>
      </c>
      <c r="Q1604" s="256">
        <f t="shared" ref="Q1604:Q1635" si="350">R1604-P1604</f>
        <v>2145</v>
      </c>
      <c r="R1604" s="256">
        <f t="shared" ref="R1604:R1635" si="351">P1604*1.22</f>
        <v>11895</v>
      </c>
      <c r="S1604" s="289"/>
      <c r="T1604" s="3">
        <v>92</v>
      </c>
      <c r="U1604" s="294" t="s">
        <v>4259</v>
      </c>
    </row>
    <row r="1605" spans="1:21" ht="15" customHeight="1" x14ac:dyDescent="0.35">
      <c r="A1605" s="218" t="s">
        <v>3882</v>
      </c>
      <c r="B1605" s="3">
        <v>1510</v>
      </c>
      <c r="C1605" s="44">
        <v>102002306</v>
      </c>
      <c r="D1605" s="18" t="s">
        <v>432</v>
      </c>
      <c r="E1605" s="18" t="s">
        <v>2237</v>
      </c>
      <c r="F1605" s="12">
        <v>1</v>
      </c>
      <c r="G1605" s="3" t="s">
        <v>0</v>
      </c>
      <c r="H1605" s="5">
        <v>42824</v>
      </c>
      <c r="I1605" s="5" t="s">
        <v>989</v>
      </c>
      <c r="J1605" s="4" t="s">
        <v>1962</v>
      </c>
      <c r="K1605" s="5" t="s">
        <v>988</v>
      </c>
      <c r="L1605" s="29" t="s">
        <v>2143</v>
      </c>
      <c r="M1605" s="78">
        <f t="shared" si="336"/>
        <v>22768.09</v>
      </c>
      <c r="N1605" s="78">
        <f t="shared" si="349"/>
        <v>22768.09</v>
      </c>
      <c r="O1605" s="78">
        <v>22768.09</v>
      </c>
      <c r="P1605" s="72">
        <v>9830</v>
      </c>
      <c r="Q1605" s="256">
        <f t="shared" si="350"/>
        <v>2162.6</v>
      </c>
      <c r="R1605" s="256">
        <f t="shared" si="351"/>
        <v>11992.6</v>
      </c>
      <c r="S1605" s="296"/>
      <c r="T1605" s="3">
        <v>92</v>
      </c>
      <c r="U1605" s="294"/>
    </row>
    <row r="1606" spans="1:21" ht="15" customHeight="1" x14ac:dyDescent="0.35">
      <c r="A1606" s="218" t="s">
        <v>3884</v>
      </c>
      <c r="B1606" s="3">
        <v>1511</v>
      </c>
      <c r="C1606" s="44">
        <v>102002344</v>
      </c>
      <c r="D1606" s="18" t="s">
        <v>439</v>
      </c>
      <c r="E1606" s="18" t="s">
        <v>2237</v>
      </c>
      <c r="F1606" s="12">
        <v>1</v>
      </c>
      <c r="G1606" s="3" t="s">
        <v>0</v>
      </c>
      <c r="H1606" s="49" t="s">
        <v>2195</v>
      </c>
      <c r="I1606" s="5" t="s">
        <v>989</v>
      </c>
      <c r="J1606" s="4" t="s">
        <v>1962</v>
      </c>
      <c r="K1606" s="5" t="s">
        <v>988</v>
      </c>
      <c r="L1606" s="29" t="s">
        <v>2143</v>
      </c>
      <c r="M1606" s="78">
        <f t="shared" si="336"/>
        <v>22001.919999999998</v>
      </c>
      <c r="N1606" s="78">
        <f t="shared" si="349"/>
        <v>22001.919999999998</v>
      </c>
      <c r="O1606" s="78">
        <v>22001.919999999998</v>
      </c>
      <c r="P1606" s="72">
        <v>12290</v>
      </c>
      <c r="Q1606" s="256">
        <f t="shared" si="350"/>
        <v>2703.8</v>
      </c>
      <c r="R1606" s="256">
        <f t="shared" si="351"/>
        <v>14993.8</v>
      </c>
      <c r="S1606" s="296"/>
      <c r="T1606" s="3">
        <v>92</v>
      </c>
      <c r="U1606" s="294"/>
    </row>
    <row r="1607" spans="1:21" ht="15" customHeight="1" x14ac:dyDescent="0.35">
      <c r="A1607" s="218" t="s">
        <v>3885</v>
      </c>
      <c r="B1607" s="3">
        <v>1512</v>
      </c>
      <c r="C1607" s="44">
        <v>102002004</v>
      </c>
      <c r="D1607" s="18" t="s">
        <v>449</v>
      </c>
      <c r="E1607" s="18" t="s">
        <v>2237</v>
      </c>
      <c r="F1607" s="12">
        <v>2</v>
      </c>
      <c r="G1607" s="3" t="s">
        <v>0</v>
      </c>
      <c r="H1607" s="49">
        <v>2010</v>
      </c>
      <c r="I1607" s="5" t="s">
        <v>989</v>
      </c>
      <c r="J1607" s="4" t="s">
        <v>1962</v>
      </c>
      <c r="K1607" s="5" t="s">
        <v>988</v>
      </c>
      <c r="L1607" s="29" t="s">
        <v>2143</v>
      </c>
      <c r="M1607" s="78">
        <f t="shared" si="336"/>
        <v>25361.72</v>
      </c>
      <c r="N1607" s="78">
        <f t="shared" si="349"/>
        <v>12680.86</v>
      </c>
      <c r="O1607" s="78">
        <v>25361.72</v>
      </c>
      <c r="P1607" s="72">
        <v>14170</v>
      </c>
      <c r="Q1607" s="256">
        <f t="shared" si="350"/>
        <v>3117.4</v>
      </c>
      <c r="R1607" s="256">
        <f t="shared" si="351"/>
        <v>17287.400000000001</v>
      </c>
      <c r="S1607" s="296"/>
      <c r="T1607" s="3">
        <v>92</v>
      </c>
      <c r="U1607" s="294"/>
    </row>
    <row r="1608" spans="1:21" ht="15" customHeight="1" x14ac:dyDescent="0.35">
      <c r="A1608" s="218" t="s">
        <v>3887</v>
      </c>
      <c r="B1608" s="3">
        <v>1513</v>
      </c>
      <c r="C1608" s="44">
        <v>102002282</v>
      </c>
      <c r="D1608" s="18" t="s">
        <v>452</v>
      </c>
      <c r="E1608" s="18" t="s">
        <v>2237</v>
      </c>
      <c r="F1608" s="12">
        <v>2</v>
      </c>
      <c r="G1608" s="3" t="s">
        <v>0</v>
      </c>
      <c r="H1608" s="49" t="s">
        <v>2195</v>
      </c>
      <c r="I1608" s="5" t="s">
        <v>989</v>
      </c>
      <c r="J1608" s="4" t="s">
        <v>1962</v>
      </c>
      <c r="K1608" s="5" t="s">
        <v>988</v>
      </c>
      <c r="L1608" s="29" t="s">
        <v>2143</v>
      </c>
      <c r="M1608" s="78">
        <f t="shared" si="336"/>
        <v>36796.870000000003</v>
      </c>
      <c r="N1608" s="78">
        <f t="shared" si="349"/>
        <v>18398.439999999999</v>
      </c>
      <c r="O1608" s="78">
        <v>36796.870000000003</v>
      </c>
      <c r="P1608" s="72">
        <v>20550</v>
      </c>
      <c r="Q1608" s="256">
        <f t="shared" si="350"/>
        <v>4521</v>
      </c>
      <c r="R1608" s="256">
        <f t="shared" si="351"/>
        <v>25071</v>
      </c>
      <c r="S1608" s="296"/>
      <c r="T1608" s="3">
        <v>92</v>
      </c>
      <c r="U1608" s="294"/>
    </row>
    <row r="1609" spans="1:21" ht="15" customHeight="1" x14ac:dyDescent="0.35">
      <c r="A1609" s="218" t="s">
        <v>3888</v>
      </c>
      <c r="B1609" s="3">
        <v>1514</v>
      </c>
      <c r="C1609" s="44">
        <v>102002307</v>
      </c>
      <c r="D1609" s="18" t="s">
        <v>454</v>
      </c>
      <c r="E1609" s="18" t="s">
        <v>2237</v>
      </c>
      <c r="F1609" s="12">
        <v>2</v>
      </c>
      <c r="G1609" s="3" t="s">
        <v>0</v>
      </c>
      <c r="H1609" s="49" t="s">
        <v>2195</v>
      </c>
      <c r="I1609" s="5" t="s">
        <v>989</v>
      </c>
      <c r="J1609" s="4" t="s">
        <v>1962</v>
      </c>
      <c r="K1609" s="5" t="s">
        <v>988</v>
      </c>
      <c r="L1609" s="29" t="s">
        <v>2143</v>
      </c>
      <c r="M1609" s="78">
        <f t="shared" si="336"/>
        <v>10806</v>
      </c>
      <c r="N1609" s="78">
        <f t="shared" si="349"/>
        <v>5403</v>
      </c>
      <c r="O1609" s="78">
        <v>10806</v>
      </c>
      <c r="P1609" s="72">
        <v>6040</v>
      </c>
      <c r="Q1609" s="256">
        <f t="shared" si="350"/>
        <v>1328.8</v>
      </c>
      <c r="R1609" s="256">
        <f t="shared" si="351"/>
        <v>7368.8</v>
      </c>
      <c r="S1609" s="296"/>
      <c r="T1609" s="3">
        <v>92</v>
      </c>
      <c r="U1609" s="294"/>
    </row>
    <row r="1610" spans="1:21" ht="15" customHeight="1" x14ac:dyDescent="0.35">
      <c r="A1610" s="218" t="s">
        <v>3889</v>
      </c>
      <c r="B1610" s="3">
        <v>1515</v>
      </c>
      <c r="C1610" s="44">
        <v>102002319</v>
      </c>
      <c r="D1610" s="18" t="s">
        <v>457</v>
      </c>
      <c r="E1610" s="18" t="s">
        <v>2237</v>
      </c>
      <c r="F1610" s="12">
        <v>2</v>
      </c>
      <c r="G1610" s="3" t="s">
        <v>0</v>
      </c>
      <c r="H1610" s="49" t="s">
        <v>2195</v>
      </c>
      <c r="I1610" s="5" t="s">
        <v>989</v>
      </c>
      <c r="J1610" s="4" t="s">
        <v>1962</v>
      </c>
      <c r="K1610" s="5" t="s">
        <v>988</v>
      </c>
      <c r="L1610" s="29" t="s">
        <v>2143</v>
      </c>
      <c r="M1610" s="78">
        <f t="shared" si="336"/>
        <v>59530.5</v>
      </c>
      <c r="N1610" s="78">
        <f t="shared" si="349"/>
        <v>29765.25</v>
      </c>
      <c r="O1610" s="78">
        <v>59530.5</v>
      </c>
      <c r="P1610" s="72">
        <v>33250</v>
      </c>
      <c r="Q1610" s="256">
        <f t="shared" si="350"/>
        <v>7315</v>
      </c>
      <c r="R1610" s="256">
        <f t="shared" si="351"/>
        <v>40565</v>
      </c>
      <c r="S1610" s="296"/>
      <c r="T1610" s="3">
        <v>92</v>
      </c>
      <c r="U1610" s="294"/>
    </row>
    <row r="1611" spans="1:21" ht="15" customHeight="1" x14ac:dyDescent="0.35">
      <c r="A1611" s="218" t="s">
        <v>3890</v>
      </c>
      <c r="B1611" s="3">
        <v>1516</v>
      </c>
      <c r="C1611" s="44">
        <v>102002302</v>
      </c>
      <c r="D1611" s="18" t="s">
        <v>470</v>
      </c>
      <c r="E1611" s="18" t="s">
        <v>2237</v>
      </c>
      <c r="F1611" s="12">
        <v>4</v>
      </c>
      <c r="G1611" s="3" t="s">
        <v>0</v>
      </c>
      <c r="H1611" s="5">
        <v>42824</v>
      </c>
      <c r="I1611" s="5" t="s">
        <v>989</v>
      </c>
      <c r="J1611" s="4" t="s">
        <v>1962</v>
      </c>
      <c r="K1611" s="5" t="s">
        <v>988</v>
      </c>
      <c r="L1611" s="29" t="s">
        <v>2143</v>
      </c>
      <c r="M1611" s="78">
        <f t="shared" si="336"/>
        <v>93551.53</v>
      </c>
      <c r="N1611" s="78">
        <f t="shared" si="349"/>
        <v>23387.88</v>
      </c>
      <c r="O1611" s="78">
        <v>93551.53</v>
      </c>
      <c r="P1611" s="72">
        <v>40370</v>
      </c>
      <c r="Q1611" s="256">
        <f t="shared" si="350"/>
        <v>8881.4</v>
      </c>
      <c r="R1611" s="256">
        <f t="shared" si="351"/>
        <v>49251.4</v>
      </c>
      <c r="S1611" s="296"/>
      <c r="T1611" s="3">
        <v>92</v>
      </c>
      <c r="U1611" s="294"/>
    </row>
    <row r="1612" spans="1:21" ht="15" customHeight="1" x14ac:dyDescent="0.35">
      <c r="A1612" s="218" t="s">
        <v>3891</v>
      </c>
      <c r="B1612" s="3">
        <v>1517</v>
      </c>
      <c r="C1612" s="44">
        <v>102002313</v>
      </c>
      <c r="D1612" s="18" t="s">
        <v>471</v>
      </c>
      <c r="E1612" s="18" t="s">
        <v>2237</v>
      </c>
      <c r="F1612" s="12">
        <v>4</v>
      </c>
      <c r="G1612" s="3" t="s">
        <v>0</v>
      </c>
      <c r="H1612" s="5">
        <v>42824</v>
      </c>
      <c r="I1612" s="5" t="s">
        <v>989</v>
      </c>
      <c r="J1612" s="4" t="s">
        <v>1962</v>
      </c>
      <c r="K1612" s="5" t="s">
        <v>988</v>
      </c>
      <c r="L1612" s="29" t="s">
        <v>2143</v>
      </c>
      <c r="M1612" s="78">
        <f t="shared" si="336"/>
        <v>68647.14</v>
      </c>
      <c r="N1612" s="78">
        <f t="shared" si="349"/>
        <v>17161.79</v>
      </c>
      <c r="O1612" s="78">
        <v>68647.14</v>
      </c>
      <c r="P1612" s="72">
        <v>29630</v>
      </c>
      <c r="Q1612" s="256">
        <f t="shared" si="350"/>
        <v>6518.6</v>
      </c>
      <c r="R1612" s="256">
        <f t="shared" si="351"/>
        <v>36148.6</v>
      </c>
      <c r="S1612" s="296"/>
      <c r="T1612" s="3">
        <v>92</v>
      </c>
      <c r="U1612" s="294"/>
    </row>
    <row r="1613" spans="1:21" ht="15" customHeight="1" x14ac:dyDescent="0.35">
      <c r="A1613" s="218" t="s">
        <v>3892</v>
      </c>
      <c r="B1613" s="3">
        <v>1518</v>
      </c>
      <c r="C1613" s="44">
        <v>102002325</v>
      </c>
      <c r="D1613" s="18" t="s">
        <v>472</v>
      </c>
      <c r="E1613" s="18" t="s">
        <v>2237</v>
      </c>
      <c r="F1613" s="12">
        <v>4</v>
      </c>
      <c r="G1613" s="3" t="s">
        <v>0</v>
      </c>
      <c r="H1613" s="5">
        <v>42824</v>
      </c>
      <c r="I1613" s="5" t="s">
        <v>989</v>
      </c>
      <c r="J1613" s="4" t="s">
        <v>1962</v>
      </c>
      <c r="K1613" s="5" t="s">
        <v>988</v>
      </c>
      <c r="L1613" s="29" t="s">
        <v>2143</v>
      </c>
      <c r="M1613" s="78">
        <f t="shared" si="336"/>
        <v>55763.519999999997</v>
      </c>
      <c r="N1613" s="78">
        <f t="shared" si="349"/>
        <v>13940.88</v>
      </c>
      <c r="O1613" s="78">
        <v>55763.519999999997</v>
      </c>
      <c r="P1613" s="72">
        <v>24070</v>
      </c>
      <c r="Q1613" s="256">
        <f t="shared" si="350"/>
        <v>5295.4</v>
      </c>
      <c r="R1613" s="256">
        <f t="shared" si="351"/>
        <v>29365.4</v>
      </c>
      <c r="S1613" s="296"/>
      <c r="T1613" s="3">
        <v>92</v>
      </c>
      <c r="U1613" s="294"/>
    </row>
    <row r="1614" spans="1:21" ht="15" customHeight="1" x14ac:dyDescent="0.35">
      <c r="A1614" s="218" t="s">
        <v>3893</v>
      </c>
      <c r="B1614" s="3">
        <v>1519</v>
      </c>
      <c r="C1614" s="44">
        <v>102002330</v>
      </c>
      <c r="D1614" s="18" t="s">
        <v>473</v>
      </c>
      <c r="E1614" s="18" t="s">
        <v>2237</v>
      </c>
      <c r="F1614" s="12">
        <v>4</v>
      </c>
      <c r="G1614" s="3" t="s">
        <v>0</v>
      </c>
      <c r="H1614" s="5">
        <v>42824</v>
      </c>
      <c r="I1614" s="5" t="s">
        <v>989</v>
      </c>
      <c r="J1614" s="4" t="s">
        <v>1962</v>
      </c>
      <c r="K1614" s="5" t="s">
        <v>988</v>
      </c>
      <c r="L1614" s="29" t="s">
        <v>2143</v>
      </c>
      <c r="M1614" s="78">
        <f t="shared" si="336"/>
        <v>57505.2</v>
      </c>
      <c r="N1614" s="78">
        <f t="shared" si="349"/>
        <v>14376.3</v>
      </c>
      <c r="O1614" s="78">
        <v>57505.2</v>
      </c>
      <c r="P1614" s="72">
        <v>24820</v>
      </c>
      <c r="Q1614" s="256">
        <f t="shared" si="350"/>
        <v>5460.4</v>
      </c>
      <c r="R1614" s="256">
        <f t="shared" si="351"/>
        <v>30280.400000000001</v>
      </c>
      <c r="S1614" s="296"/>
      <c r="T1614" s="3">
        <v>92</v>
      </c>
      <c r="U1614" s="294"/>
    </row>
    <row r="1615" spans="1:21" ht="15" customHeight="1" x14ac:dyDescent="0.35">
      <c r="A1615" s="218" t="s">
        <v>3895</v>
      </c>
      <c r="B1615" s="3">
        <v>1520</v>
      </c>
      <c r="C1615" s="44">
        <v>102002310</v>
      </c>
      <c r="D1615" s="18" t="s">
        <v>478</v>
      </c>
      <c r="E1615" s="18" t="s">
        <v>2237</v>
      </c>
      <c r="F1615" s="12">
        <v>5</v>
      </c>
      <c r="G1615" s="3" t="s">
        <v>0</v>
      </c>
      <c r="H1615" s="49" t="s">
        <v>2195</v>
      </c>
      <c r="I1615" s="5" t="s">
        <v>989</v>
      </c>
      <c r="J1615" s="4" t="s">
        <v>1962</v>
      </c>
      <c r="K1615" s="5" t="s">
        <v>988</v>
      </c>
      <c r="L1615" s="29" t="s">
        <v>2143</v>
      </c>
      <c r="M1615" s="78">
        <f t="shared" si="336"/>
        <v>132881.17000000001</v>
      </c>
      <c r="N1615" s="78">
        <f t="shared" si="349"/>
        <v>26576.23</v>
      </c>
      <c r="O1615" s="78">
        <v>132881.17000000001</v>
      </c>
      <c r="P1615" s="72">
        <v>74220</v>
      </c>
      <c r="Q1615" s="256">
        <f t="shared" si="350"/>
        <v>16328.4</v>
      </c>
      <c r="R1615" s="256">
        <f t="shared" si="351"/>
        <v>90548.4</v>
      </c>
      <c r="S1615" s="296"/>
      <c r="T1615" s="3">
        <v>92</v>
      </c>
      <c r="U1615" s="294"/>
    </row>
    <row r="1616" spans="1:21" ht="15" customHeight="1" x14ac:dyDescent="0.35">
      <c r="A1616" s="218" t="s">
        <v>3896</v>
      </c>
      <c r="B1616" s="3">
        <v>1521</v>
      </c>
      <c r="C1616" s="44">
        <v>102002321</v>
      </c>
      <c r="D1616" s="18" t="s">
        <v>479</v>
      </c>
      <c r="E1616" s="18" t="s">
        <v>2237</v>
      </c>
      <c r="F1616" s="12">
        <v>5</v>
      </c>
      <c r="G1616" s="3" t="s">
        <v>0</v>
      </c>
      <c r="H1616" s="49" t="s">
        <v>2195</v>
      </c>
      <c r="I1616" s="5" t="s">
        <v>989</v>
      </c>
      <c r="J1616" s="4" t="s">
        <v>1962</v>
      </c>
      <c r="K1616" s="5" t="s">
        <v>988</v>
      </c>
      <c r="L1616" s="29" t="s">
        <v>2143</v>
      </c>
      <c r="M1616" s="78">
        <f t="shared" si="336"/>
        <v>76429.47</v>
      </c>
      <c r="N1616" s="78">
        <f t="shared" si="349"/>
        <v>15285.89</v>
      </c>
      <c r="O1616" s="78">
        <v>76429.47</v>
      </c>
      <c r="P1616" s="72">
        <v>42690</v>
      </c>
      <c r="Q1616" s="256">
        <f t="shared" si="350"/>
        <v>9391.7999999999993</v>
      </c>
      <c r="R1616" s="256">
        <f t="shared" si="351"/>
        <v>52081.8</v>
      </c>
      <c r="S1616" s="296"/>
      <c r="T1616" s="3">
        <v>92</v>
      </c>
      <c r="U1616" s="294"/>
    </row>
    <row r="1617" spans="1:21" ht="15" customHeight="1" x14ac:dyDescent="0.35">
      <c r="A1617" s="218" t="s">
        <v>3897</v>
      </c>
      <c r="B1617" s="3">
        <v>1522</v>
      </c>
      <c r="C1617" s="44">
        <v>102002356</v>
      </c>
      <c r="D1617" s="18" t="s">
        <v>483</v>
      </c>
      <c r="E1617" s="18" t="s">
        <v>2237</v>
      </c>
      <c r="F1617" s="12">
        <v>5</v>
      </c>
      <c r="G1617" s="3" t="s">
        <v>0</v>
      </c>
      <c r="H1617" s="49" t="s">
        <v>517</v>
      </c>
      <c r="I1617" s="5" t="s">
        <v>989</v>
      </c>
      <c r="J1617" s="4" t="s">
        <v>1962</v>
      </c>
      <c r="K1617" s="5" t="s">
        <v>988</v>
      </c>
      <c r="L1617" s="29" t="s">
        <v>2143</v>
      </c>
      <c r="M1617" s="78">
        <f t="shared" si="336"/>
        <v>71116.72</v>
      </c>
      <c r="N1617" s="78">
        <f t="shared" si="349"/>
        <v>14223.34</v>
      </c>
      <c r="O1617" s="78">
        <v>71116.72</v>
      </c>
      <c r="P1617" s="72">
        <v>35410</v>
      </c>
      <c r="Q1617" s="256">
        <f t="shared" si="350"/>
        <v>7790.2</v>
      </c>
      <c r="R1617" s="256">
        <f t="shared" si="351"/>
        <v>43200.2</v>
      </c>
      <c r="S1617" s="296"/>
      <c r="T1617" s="3">
        <v>92</v>
      </c>
      <c r="U1617" s="294"/>
    </row>
    <row r="1618" spans="1:21" ht="15" customHeight="1" x14ac:dyDescent="0.35">
      <c r="A1618" s="218" t="s">
        <v>3898</v>
      </c>
      <c r="B1618" s="3">
        <v>1523</v>
      </c>
      <c r="C1618" s="44">
        <v>102002284</v>
      </c>
      <c r="D1618" s="18" t="s">
        <v>484</v>
      </c>
      <c r="E1618" s="18" t="s">
        <v>2237</v>
      </c>
      <c r="F1618" s="12">
        <v>6</v>
      </c>
      <c r="G1618" s="3" t="s">
        <v>0</v>
      </c>
      <c r="H1618" s="49" t="s">
        <v>517</v>
      </c>
      <c r="I1618" s="5" t="s">
        <v>989</v>
      </c>
      <c r="J1618" s="4" t="s">
        <v>1962</v>
      </c>
      <c r="K1618" s="5" t="s">
        <v>988</v>
      </c>
      <c r="L1618" s="29" t="s">
        <v>2143</v>
      </c>
      <c r="M1618" s="78">
        <f t="shared" si="336"/>
        <v>85381.34</v>
      </c>
      <c r="N1618" s="78">
        <f t="shared" si="349"/>
        <v>14230.22</v>
      </c>
      <c r="O1618" s="78">
        <v>85381.34</v>
      </c>
      <c r="P1618" s="72">
        <v>42510</v>
      </c>
      <c r="Q1618" s="256">
        <f t="shared" si="350"/>
        <v>9352.2000000000007</v>
      </c>
      <c r="R1618" s="256">
        <f t="shared" si="351"/>
        <v>51862.2</v>
      </c>
      <c r="S1618" s="296"/>
      <c r="T1618" s="3">
        <v>92</v>
      </c>
      <c r="U1618" s="294"/>
    </row>
    <row r="1619" spans="1:21" ht="15" customHeight="1" x14ac:dyDescent="0.35">
      <c r="A1619" s="218" t="s">
        <v>3899</v>
      </c>
      <c r="B1619" s="3">
        <v>1524</v>
      </c>
      <c r="C1619" s="44">
        <v>102002353</v>
      </c>
      <c r="D1619" s="18" t="s">
        <v>489</v>
      </c>
      <c r="E1619" s="18" t="s">
        <v>2237</v>
      </c>
      <c r="F1619" s="12">
        <v>7</v>
      </c>
      <c r="G1619" s="3" t="s">
        <v>0</v>
      </c>
      <c r="H1619" s="49" t="s">
        <v>528</v>
      </c>
      <c r="I1619" s="5" t="s">
        <v>989</v>
      </c>
      <c r="J1619" s="4" t="s">
        <v>1962</v>
      </c>
      <c r="K1619" s="5" t="s">
        <v>988</v>
      </c>
      <c r="L1619" s="29" t="s">
        <v>2143</v>
      </c>
      <c r="M1619" s="78">
        <f t="shared" si="336"/>
        <v>125375.55</v>
      </c>
      <c r="N1619" s="78">
        <f t="shared" si="349"/>
        <v>17910.79</v>
      </c>
      <c r="O1619" s="78">
        <v>125375.55</v>
      </c>
      <c r="P1619" s="72">
        <v>54110</v>
      </c>
      <c r="Q1619" s="256">
        <f t="shared" si="350"/>
        <v>11904.2</v>
      </c>
      <c r="R1619" s="256">
        <f t="shared" si="351"/>
        <v>66014.2</v>
      </c>
      <c r="S1619" s="296"/>
      <c r="T1619" s="3">
        <v>92</v>
      </c>
      <c r="U1619" s="294"/>
    </row>
    <row r="1620" spans="1:21" ht="15" customHeight="1" x14ac:dyDescent="0.35">
      <c r="A1620" s="218" t="s">
        <v>3900</v>
      </c>
      <c r="B1620" s="3">
        <v>1525</v>
      </c>
      <c r="C1620" s="44">
        <v>102002291</v>
      </c>
      <c r="D1620" s="18" t="s">
        <v>491</v>
      </c>
      <c r="E1620" s="18" t="s">
        <v>2237</v>
      </c>
      <c r="F1620" s="12">
        <v>9</v>
      </c>
      <c r="G1620" s="3" t="s">
        <v>0</v>
      </c>
      <c r="H1620" s="49" t="s">
        <v>528</v>
      </c>
      <c r="I1620" s="5" t="s">
        <v>989</v>
      </c>
      <c r="J1620" s="4" t="s">
        <v>1962</v>
      </c>
      <c r="K1620" s="5" t="s">
        <v>988</v>
      </c>
      <c r="L1620" s="29" t="s">
        <v>2143</v>
      </c>
      <c r="M1620" s="78">
        <f t="shared" si="336"/>
        <v>174673.76</v>
      </c>
      <c r="N1620" s="78">
        <f t="shared" si="349"/>
        <v>19408.2</v>
      </c>
      <c r="O1620" s="78">
        <v>174673.76</v>
      </c>
      <c r="P1620" s="72">
        <v>75380</v>
      </c>
      <c r="Q1620" s="256">
        <f t="shared" si="350"/>
        <v>16583.599999999999</v>
      </c>
      <c r="R1620" s="256">
        <f t="shared" si="351"/>
        <v>91963.6</v>
      </c>
      <c r="S1620" s="296"/>
      <c r="T1620" s="3">
        <v>92</v>
      </c>
      <c r="U1620" s="294"/>
    </row>
    <row r="1621" spans="1:21" ht="30" customHeight="1" x14ac:dyDescent="0.35">
      <c r="A1621" s="218" t="s">
        <v>3901</v>
      </c>
      <c r="B1621" s="3">
        <v>1526</v>
      </c>
      <c r="C1621" s="44">
        <v>102002316</v>
      </c>
      <c r="D1621" s="18" t="s">
        <v>495</v>
      </c>
      <c r="E1621" s="18" t="s">
        <v>2237</v>
      </c>
      <c r="F1621" s="12">
        <v>13</v>
      </c>
      <c r="G1621" s="3" t="s">
        <v>0</v>
      </c>
      <c r="H1621" s="5">
        <v>42734</v>
      </c>
      <c r="I1621" s="5" t="s">
        <v>989</v>
      </c>
      <c r="J1621" s="4" t="s">
        <v>1962</v>
      </c>
      <c r="K1621" s="5" t="s">
        <v>988</v>
      </c>
      <c r="L1621" s="29" t="s">
        <v>2143</v>
      </c>
      <c r="M1621" s="78">
        <f t="shared" ref="M1621:M1677" si="352">O1621</f>
        <v>202119.1</v>
      </c>
      <c r="N1621" s="78">
        <f t="shared" si="349"/>
        <v>15547.62</v>
      </c>
      <c r="O1621" s="78">
        <v>202119.1</v>
      </c>
      <c r="P1621" s="72">
        <v>88500</v>
      </c>
      <c r="Q1621" s="256">
        <f t="shared" si="350"/>
        <v>19470</v>
      </c>
      <c r="R1621" s="256">
        <f t="shared" si="351"/>
        <v>107970</v>
      </c>
      <c r="S1621" s="296"/>
      <c r="T1621" s="3">
        <v>92</v>
      </c>
      <c r="U1621" s="294"/>
    </row>
    <row r="1622" spans="1:21" ht="15" customHeight="1" x14ac:dyDescent="0.35">
      <c r="A1622" s="218" t="s">
        <v>3902</v>
      </c>
      <c r="B1622" s="3">
        <v>1527</v>
      </c>
      <c r="C1622" s="44">
        <v>102002354</v>
      </c>
      <c r="D1622" s="18" t="s">
        <v>496</v>
      </c>
      <c r="E1622" s="18" t="s">
        <v>2237</v>
      </c>
      <c r="F1622" s="12">
        <v>13</v>
      </c>
      <c r="G1622" s="3" t="s">
        <v>0</v>
      </c>
      <c r="H1622" s="5">
        <v>42734</v>
      </c>
      <c r="I1622" s="5" t="s">
        <v>989</v>
      </c>
      <c r="J1622" s="4" t="s">
        <v>1962</v>
      </c>
      <c r="K1622" s="5" t="s">
        <v>988</v>
      </c>
      <c r="L1622" s="29" t="s">
        <v>2143</v>
      </c>
      <c r="M1622" s="78">
        <f t="shared" si="352"/>
        <v>216461.45</v>
      </c>
      <c r="N1622" s="78">
        <f t="shared" si="349"/>
        <v>16650.88</v>
      </c>
      <c r="O1622" s="78">
        <v>216461.45</v>
      </c>
      <c r="P1622" s="72">
        <v>94780</v>
      </c>
      <c r="Q1622" s="256">
        <f t="shared" si="350"/>
        <v>20851.599999999999</v>
      </c>
      <c r="R1622" s="256">
        <f t="shared" si="351"/>
        <v>115631.6</v>
      </c>
      <c r="S1622" s="296"/>
      <c r="T1622" s="3">
        <v>92</v>
      </c>
      <c r="U1622" s="294"/>
    </row>
    <row r="1623" spans="1:21" ht="15" customHeight="1" x14ac:dyDescent="0.35">
      <c r="A1623" s="218" t="s">
        <v>3903</v>
      </c>
      <c r="B1623" s="3">
        <v>1528</v>
      </c>
      <c r="C1623" s="44">
        <v>102002296</v>
      </c>
      <c r="D1623" s="18" t="s">
        <v>497</v>
      </c>
      <c r="E1623" s="18" t="s">
        <v>2237</v>
      </c>
      <c r="F1623" s="12">
        <v>16</v>
      </c>
      <c r="G1623" s="3" t="s">
        <v>0</v>
      </c>
      <c r="H1623" s="5">
        <v>42824</v>
      </c>
      <c r="I1623" s="5" t="s">
        <v>989</v>
      </c>
      <c r="J1623" s="4" t="s">
        <v>1962</v>
      </c>
      <c r="K1623" s="5" t="s">
        <v>988</v>
      </c>
      <c r="L1623" s="29" t="s">
        <v>2143</v>
      </c>
      <c r="M1623" s="78">
        <f t="shared" si="352"/>
        <v>225117.99</v>
      </c>
      <c r="N1623" s="78">
        <f t="shared" si="349"/>
        <v>14069.87</v>
      </c>
      <c r="O1623" s="78">
        <v>225117.99</v>
      </c>
      <c r="P1623" s="72">
        <v>97160</v>
      </c>
      <c r="Q1623" s="256">
        <f t="shared" si="350"/>
        <v>21375.200000000001</v>
      </c>
      <c r="R1623" s="256">
        <f t="shared" si="351"/>
        <v>118535.2</v>
      </c>
      <c r="S1623" s="296"/>
      <c r="T1623" s="3">
        <v>92</v>
      </c>
      <c r="U1623" s="294"/>
    </row>
    <row r="1624" spans="1:21" ht="15" customHeight="1" x14ac:dyDescent="0.35">
      <c r="A1624" s="218" t="s">
        <v>3904</v>
      </c>
      <c r="B1624" s="3">
        <v>1529</v>
      </c>
      <c r="C1624" s="44">
        <v>102002346</v>
      </c>
      <c r="D1624" s="18" t="s">
        <v>503</v>
      </c>
      <c r="E1624" s="18" t="s">
        <v>2237</v>
      </c>
      <c r="F1624" s="12">
        <v>23</v>
      </c>
      <c r="G1624" s="3" t="s">
        <v>0</v>
      </c>
      <c r="H1624" s="49" t="s">
        <v>2195</v>
      </c>
      <c r="I1624" s="5" t="s">
        <v>989</v>
      </c>
      <c r="J1624" s="4" t="s">
        <v>1962</v>
      </c>
      <c r="K1624" s="5" t="s">
        <v>988</v>
      </c>
      <c r="L1624" s="29" t="s">
        <v>2143</v>
      </c>
      <c r="M1624" s="78">
        <f t="shared" si="352"/>
        <v>402092.65</v>
      </c>
      <c r="N1624" s="78">
        <f t="shared" si="349"/>
        <v>17482.29</v>
      </c>
      <c r="O1624" s="78">
        <v>402092.65</v>
      </c>
      <c r="P1624" s="72">
        <v>224590</v>
      </c>
      <c r="Q1624" s="256">
        <f t="shared" si="350"/>
        <v>49409.8</v>
      </c>
      <c r="R1624" s="256">
        <f t="shared" si="351"/>
        <v>273999.8</v>
      </c>
      <c r="S1624" s="296"/>
      <c r="T1624" s="3">
        <v>92</v>
      </c>
      <c r="U1624" s="294"/>
    </row>
    <row r="1625" spans="1:21" ht="15" customHeight="1" x14ac:dyDescent="0.35">
      <c r="A1625" s="218" t="s">
        <v>3905</v>
      </c>
      <c r="B1625" s="3">
        <v>1530</v>
      </c>
      <c r="C1625" s="44">
        <v>102002335</v>
      </c>
      <c r="D1625" s="18" t="s">
        <v>505</v>
      </c>
      <c r="E1625" s="18" t="s">
        <v>2237</v>
      </c>
      <c r="F1625" s="12">
        <v>26</v>
      </c>
      <c r="G1625" s="3" t="s">
        <v>0</v>
      </c>
      <c r="H1625" s="49" t="s">
        <v>2195</v>
      </c>
      <c r="I1625" s="5" t="s">
        <v>989</v>
      </c>
      <c r="J1625" s="4" t="s">
        <v>1962</v>
      </c>
      <c r="K1625" s="5" t="s">
        <v>988</v>
      </c>
      <c r="L1625" s="29" t="s">
        <v>2143</v>
      </c>
      <c r="M1625" s="78">
        <f t="shared" si="352"/>
        <v>420734.95</v>
      </c>
      <c r="N1625" s="78">
        <f t="shared" si="349"/>
        <v>16182.11</v>
      </c>
      <c r="O1625" s="78">
        <v>420734.95</v>
      </c>
      <c r="P1625" s="72">
        <v>235000</v>
      </c>
      <c r="Q1625" s="256">
        <f t="shared" si="350"/>
        <v>51700</v>
      </c>
      <c r="R1625" s="256">
        <f t="shared" si="351"/>
        <v>286700</v>
      </c>
      <c r="S1625" s="296"/>
      <c r="T1625" s="3">
        <v>92</v>
      </c>
      <c r="U1625" s="294"/>
    </row>
    <row r="1626" spans="1:21" ht="15" customHeight="1" x14ac:dyDescent="0.35">
      <c r="A1626" s="218" t="s">
        <v>3906</v>
      </c>
      <c r="B1626" s="3">
        <v>1531</v>
      </c>
      <c r="C1626" s="44">
        <v>102002280</v>
      </c>
      <c r="D1626" s="18" t="s">
        <v>506</v>
      </c>
      <c r="E1626" s="18" t="s">
        <v>2237</v>
      </c>
      <c r="F1626" s="12">
        <v>27</v>
      </c>
      <c r="G1626" s="3" t="s">
        <v>0</v>
      </c>
      <c r="H1626" s="49" t="s">
        <v>2195</v>
      </c>
      <c r="I1626" s="5" t="s">
        <v>989</v>
      </c>
      <c r="J1626" s="4" t="s">
        <v>1962</v>
      </c>
      <c r="K1626" s="5" t="s">
        <v>988</v>
      </c>
      <c r="L1626" s="29" t="s">
        <v>2143</v>
      </c>
      <c r="M1626" s="78">
        <f t="shared" si="352"/>
        <v>414093.66</v>
      </c>
      <c r="N1626" s="78">
        <f t="shared" si="349"/>
        <v>15336.8</v>
      </c>
      <c r="O1626" s="78">
        <v>414093.66</v>
      </c>
      <c r="P1626" s="72">
        <v>231300</v>
      </c>
      <c r="Q1626" s="256">
        <f t="shared" si="350"/>
        <v>50886</v>
      </c>
      <c r="R1626" s="256">
        <f t="shared" si="351"/>
        <v>282186</v>
      </c>
      <c r="S1626" s="296"/>
      <c r="T1626" s="3">
        <v>92</v>
      </c>
      <c r="U1626" s="294"/>
    </row>
    <row r="1627" spans="1:21" ht="20.149999999999999" customHeight="1" x14ac:dyDescent="0.35">
      <c r="A1627" s="218" t="s">
        <v>3912</v>
      </c>
      <c r="B1627" s="3">
        <v>1532</v>
      </c>
      <c r="C1627" s="68">
        <v>10110514</v>
      </c>
      <c r="D1627" s="24" t="s">
        <v>1041</v>
      </c>
      <c r="E1627" s="18" t="s">
        <v>2237</v>
      </c>
      <c r="F1627" s="91">
        <v>45</v>
      </c>
      <c r="G1627" s="3" t="s">
        <v>0</v>
      </c>
      <c r="H1627" s="54" t="s">
        <v>522</v>
      </c>
      <c r="I1627" s="4" t="s">
        <v>989</v>
      </c>
      <c r="J1627" s="25" t="s">
        <v>2285</v>
      </c>
      <c r="K1627" s="23" t="s">
        <v>1240</v>
      </c>
      <c r="L1627" s="6" t="s">
        <v>871</v>
      </c>
      <c r="M1627" s="81">
        <f t="shared" si="352"/>
        <v>49358.58</v>
      </c>
      <c r="N1627" s="81">
        <f t="shared" ref="N1627:N1658" si="353">O1627/F1627</f>
        <v>1096.8599999999999</v>
      </c>
      <c r="O1627" s="81">
        <v>49358.58</v>
      </c>
      <c r="P1627" s="72">
        <v>25230</v>
      </c>
      <c r="Q1627" s="256">
        <f t="shared" si="350"/>
        <v>5550.6</v>
      </c>
      <c r="R1627" s="256">
        <f t="shared" si="351"/>
        <v>30780.6</v>
      </c>
      <c r="S1627" s="296"/>
      <c r="T1627" s="3">
        <v>92</v>
      </c>
      <c r="U1627" s="294"/>
    </row>
    <row r="1628" spans="1:21" ht="30" customHeight="1" x14ac:dyDescent="0.35">
      <c r="A1628" s="218" t="s">
        <v>3913</v>
      </c>
      <c r="B1628" s="3">
        <v>1533</v>
      </c>
      <c r="C1628" s="68">
        <v>10123736</v>
      </c>
      <c r="D1628" s="24" t="s">
        <v>1046</v>
      </c>
      <c r="E1628" s="18" t="s">
        <v>2237</v>
      </c>
      <c r="F1628" s="91">
        <v>1</v>
      </c>
      <c r="G1628" s="3" t="s">
        <v>0</v>
      </c>
      <c r="H1628" s="54" t="s">
        <v>523</v>
      </c>
      <c r="I1628" s="4" t="s">
        <v>989</v>
      </c>
      <c r="J1628" s="25" t="s">
        <v>1203</v>
      </c>
      <c r="K1628" s="23" t="s">
        <v>1046</v>
      </c>
      <c r="L1628" s="6" t="s">
        <v>871</v>
      </c>
      <c r="M1628" s="81">
        <f t="shared" si="352"/>
        <v>23376</v>
      </c>
      <c r="N1628" s="81">
        <f t="shared" si="353"/>
        <v>23376</v>
      </c>
      <c r="O1628" s="81">
        <v>23376</v>
      </c>
      <c r="P1628" s="72">
        <v>12170</v>
      </c>
      <c r="Q1628" s="256">
        <f t="shared" si="350"/>
        <v>2677.4</v>
      </c>
      <c r="R1628" s="256">
        <f t="shared" si="351"/>
        <v>14847.4</v>
      </c>
      <c r="S1628" s="296"/>
      <c r="T1628" s="3">
        <v>92</v>
      </c>
      <c r="U1628" s="294"/>
    </row>
    <row r="1629" spans="1:21" ht="30" customHeight="1" x14ac:dyDescent="0.35">
      <c r="A1629" s="218" t="s">
        <v>3914</v>
      </c>
      <c r="B1629" s="3">
        <v>1534</v>
      </c>
      <c r="C1629" s="68">
        <v>10118614</v>
      </c>
      <c r="D1629" s="24" t="s">
        <v>1047</v>
      </c>
      <c r="E1629" s="18" t="s">
        <v>2237</v>
      </c>
      <c r="F1629" s="91">
        <v>1</v>
      </c>
      <c r="G1629" s="3" t="s">
        <v>0</v>
      </c>
      <c r="H1629" s="54" t="s">
        <v>1160</v>
      </c>
      <c r="I1629" s="4" t="s">
        <v>989</v>
      </c>
      <c r="J1629" s="25" t="s">
        <v>1204</v>
      </c>
      <c r="K1629" s="23" t="s">
        <v>1047</v>
      </c>
      <c r="L1629" s="6" t="s">
        <v>871</v>
      </c>
      <c r="M1629" s="81">
        <f t="shared" si="352"/>
        <v>17856</v>
      </c>
      <c r="N1629" s="81">
        <f t="shared" si="353"/>
        <v>17856</v>
      </c>
      <c r="O1629" s="81">
        <v>17856</v>
      </c>
      <c r="P1629" s="72">
        <v>9150</v>
      </c>
      <c r="Q1629" s="256">
        <f t="shared" si="350"/>
        <v>2013</v>
      </c>
      <c r="R1629" s="256">
        <f t="shared" si="351"/>
        <v>11163</v>
      </c>
      <c r="S1629" s="296"/>
      <c r="T1629" s="3">
        <v>92</v>
      </c>
      <c r="U1629" s="294"/>
    </row>
    <row r="1630" spans="1:21" ht="105" customHeight="1" x14ac:dyDescent="0.35">
      <c r="A1630" s="218" t="s">
        <v>3915</v>
      </c>
      <c r="B1630" s="3">
        <v>1535</v>
      </c>
      <c r="C1630" s="68">
        <v>10118489</v>
      </c>
      <c r="D1630" s="24" t="s">
        <v>1048</v>
      </c>
      <c r="E1630" s="18" t="s">
        <v>2237</v>
      </c>
      <c r="F1630" s="91">
        <v>18</v>
      </c>
      <c r="G1630" s="3" t="s">
        <v>0</v>
      </c>
      <c r="H1630" s="54" t="s">
        <v>1160</v>
      </c>
      <c r="I1630" s="4" t="s">
        <v>989</v>
      </c>
      <c r="J1630" s="25" t="s">
        <v>1205</v>
      </c>
      <c r="K1630" s="23" t="s">
        <v>1048</v>
      </c>
      <c r="L1630" s="6" t="s">
        <v>871</v>
      </c>
      <c r="M1630" s="81">
        <f t="shared" si="352"/>
        <v>331440</v>
      </c>
      <c r="N1630" s="81">
        <f t="shared" si="353"/>
        <v>18413.330000000002</v>
      </c>
      <c r="O1630" s="81">
        <v>331440</v>
      </c>
      <c r="P1630" s="72">
        <v>169870</v>
      </c>
      <c r="Q1630" s="256">
        <f t="shared" si="350"/>
        <v>37371.4</v>
      </c>
      <c r="R1630" s="256">
        <f t="shared" si="351"/>
        <v>207241.4</v>
      </c>
      <c r="S1630" s="296"/>
      <c r="T1630" s="3">
        <v>92</v>
      </c>
      <c r="U1630" s="294"/>
    </row>
    <row r="1631" spans="1:21" ht="60" customHeight="1" x14ac:dyDescent="0.35">
      <c r="A1631" s="218" t="s">
        <v>3916</v>
      </c>
      <c r="B1631" s="3">
        <v>1536</v>
      </c>
      <c r="C1631" s="68">
        <v>10118613</v>
      </c>
      <c r="D1631" s="24" t="s">
        <v>1049</v>
      </c>
      <c r="E1631" s="18" t="s">
        <v>2237</v>
      </c>
      <c r="F1631" s="91">
        <v>3</v>
      </c>
      <c r="G1631" s="3" t="s">
        <v>0</v>
      </c>
      <c r="H1631" s="54" t="s">
        <v>523</v>
      </c>
      <c r="I1631" s="4" t="s">
        <v>989</v>
      </c>
      <c r="J1631" s="25" t="s">
        <v>2285</v>
      </c>
      <c r="K1631" s="23" t="s">
        <v>1049</v>
      </c>
      <c r="L1631" s="6" t="s">
        <v>871</v>
      </c>
      <c r="M1631" s="81">
        <f t="shared" si="352"/>
        <v>56054.38</v>
      </c>
      <c r="N1631" s="81">
        <f t="shared" si="353"/>
        <v>18684.79</v>
      </c>
      <c r="O1631" s="81">
        <v>56054.38</v>
      </c>
      <c r="P1631" s="72">
        <v>29190</v>
      </c>
      <c r="Q1631" s="256">
        <f t="shared" si="350"/>
        <v>6421.8</v>
      </c>
      <c r="R1631" s="256">
        <f t="shared" si="351"/>
        <v>35611.800000000003</v>
      </c>
      <c r="S1631" s="296"/>
      <c r="T1631" s="3">
        <v>92</v>
      </c>
      <c r="U1631" s="294"/>
    </row>
    <row r="1632" spans="1:21" ht="37.5" customHeight="1" x14ac:dyDescent="0.35">
      <c r="A1632" s="218" t="s">
        <v>3917</v>
      </c>
      <c r="B1632" s="3">
        <v>1537</v>
      </c>
      <c r="C1632" s="68">
        <v>10118574</v>
      </c>
      <c r="D1632" s="24" t="s">
        <v>1050</v>
      </c>
      <c r="E1632" s="18" t="s">
        <v>2237</v>
      </c>
      <c r="F1632" s="91">
        <f>4-1</f>
        <v>3</v>
      </c>
      <c r="G1632" s="3" t="s">
        <v>0</v>
      </c>
      <c r="H1632" s="54" t="s">
        <v>523</v>
      </c>
      <c r="I1632" s="4" t="s">
        <v>989</v>
      </c>
      <c r="J1632" s="25" t="s">
        <v>1206</v>
      </c>
      <c r="K1632" s="23" t="s">
        <v>1050</v>
      </c>
      <c r="L1632" s="6" t="s">
        <v>871</v>
      </c>
      <c r="M1632" s="81">
        <f t="shared" si="352"/>
        <v>59108.32</v>
      </c>
      <c r="N1632" s="81">
        <f t="shared" si="353"/>
        <v>19702.77</v>
      </c>
      <c r="O1632" s="81">
        <f>78811.09/4*3</f>
        <v>59108.32</v>
      </c>
      <c r="P1632" s="72">
        <v>30780</v>
      </c>
      <c r="Q1632" s="256">
        <f t="shared" si="350"/>
        <v>6771.6</v>
      </c>
      <c r="R1632" s="256">
        <f t="shared" si="351"/>
        <v>37551.599999999999</v>
      </c>
      <c r="S1632" s="296"/>
      <c r="T1632" s="3">
        <v>92</v>
      </c>
      <c r="U1632" s="294"/>
    </row>
    <row r="1633" spans="1:21" ht="26.5" customHeight="1" x14ac:dyDescent="0.35">
      <c r="A1633" s="218" t="s">
        <v>3918</v>
      </c>
      <c r="B1633" s="3">
        <v>1538</v>
      </c>
      <c r="C1633" s="68">
        <v>10124556</v>
      </c>
      <c r="D1633" s="24" t="s">
        <v>462</v>
      </c>
      <c r="E1633" s="18" t="s">
        <v>2237</v>
      </c>
      <c r="F1633" s="91">
        <v>3</v>
      </c>
      <c r="G1633" s="3" t="s">
        <v>0</v>
      </c>
      <c r="H1633" s="54" t="s">
        <v>523</v>
      </c>
      <c r="I1633" s="4" t="s">
        <v>989</v>
      </c>
      <c r="J1633" s="25" t="s">
        <v>1207</v>
      </c>
      <c r="K1633" s="23" t="s">
        <v>462</v>
      </c>
      <c r="L1633" s="6" t="s">
        <v>871</v>
      </c>
      <c r="M1633" s="81">
        <f t="shared" si="352"/>
        <v>63237</v>
      </c>
      <c r="N1633" s="81">
        <f t="shared" si="353"/>
        <v>21079</v>
      </c>
      <c r="O1633" s="81">
        <v>63237</v>
      </c>
      <c r="P1633" s="72">
        <v>32930</v>
      </c>
      <c r="Q1633" s="256">
        <f t="shared" si="350"/>
        <v>7244.6</v>
      </c>
      <c r="R1633" s="256">
        <f t="shared" si="351"/>
        <v>40174.6</v>
      </c>
      <c r="S1633" s="296"/>
      <c r="T1633" s="3">
        <v>92</v>
      </c>
      <c r="U1633" s="294"/>
    </row>
    <row r="1634" spans="1:21" ht="45" customHeight="1" x14ac:dyDescent="0.35">
      <c r="A1634" s="218" t="s">
        <v>3919</v>
      </c>
      <c r="B1634" s="3">
        <v>1539</v>
      </c>
      <c r="C1634" s="68">
        <v>10118594</v>
      </c>
      <c r="D1634" s="24" t="s">
        <v>1051</v>
      </c>
      <c r="E1634" s="18" t="s">
        <v>2237</v>
      </c>
      <c r="F1634" s="91">
        <v>5</v>
      </c>
      <c r="G1634" s="3" t="s">
        <v>0</v>
      </c>
      <c r="H1634" s="54" t="s">
        <v>523</v>
      </c>
      <c r="I1634" s="4" t="s">
        <v>989</v>
      </c>
      <c r="J1634" s="25" t="s">
        <v>1208</v>
      </c>
      <c r="K1634" s="23" t="s">
        <v>1051</v>
      </c>
      <c r="L1634" s="6" t="s">
        <v>871</v>
      </c>
      <c r="M1634" s="81">
        <f t="shared" si="352"/>
        <v>105928.12</v>
      </c>
      <c r="N1634" s="81">
        <f t="shared" si="353"/>
        <v>21185.62</v>
      </c>
      <c r="O1634" s="81">
        <v>105928.12</v>
      </c>
      <c r="P1634" s="72">
        <v>55170</v>
      </c>
      <c r="Q1634" s="256">
        <f t="shared" si="350"/>
        <v>12137.4</v>
      </c>
      <c r="R1634" s="256">
        <f t="shared" si="351"/>
        <v>67307.399999999994</v>
      </c>
      <c r="S1634" s="296"/>
      <c r="T1634" s="3">
        <v>92</v>
      </c>
      <c r="U1634" s="294"/>
    </row>
    <row r="1635" spans="1:21" ht="155.25" customHeight="1" x14ac:dyDescent="0.35">
      <c r="A1635" s="218" t="s">
        <v>3920</v>
      </c>
      <c r="B1635" s="3">
        <v>1540</v>
      </c>
      <c r="C1635" s="68">
        <v>10108214</v>
      </c>
      <c r="D1635" s="24" t="s">
        <v>1052</v>
      </c>
      <c r="E1635" s="18" t="s">
        <v>2237</v>
      </c>
      <c r="F1635" s="91">
        <v>9</v>
      </c>
      <c r="G1635" s="3" t="s">
        <v>0</v>
      </c>
      <c r="H1635" s="54" t="s">
        <v>523</v>
      </c>
      <c r="I1635" s="4" t="s">
        <v>989</v>
      </c>
      <c r="J1635" s="25" t="s">
        <v>1209</v>
      </c>
      <c r="K1635" s="23" t="s">
        <v>1052</v>
      </c>
      <c r="L1635" s="6" t="s">
        <v>871</v>
      </c>
      <c r="M1635" s="81">
        <f t="shared" si="352"/>
        <v>244465.8</v>
      </c>
      <c r="N1635" s="81">
        <f t="shared" si="353"/>
        <v>27162.87</v>
      </c>
      <c r="O1635" s="81">
        <v>244465.8</v>
      </c>
      <c r="P1635" s="72">
        <v>127320</v>
      </c>
      <c r="Q1635" s="256">
        <f t="shared" si="350"/>
        <v>28010.400000000001</v>
      </c>
      <c r="R1635" s="256">
        <f t="shared" si="351"/>
        <v>155330.4</v>
      </c>
      <c r="S1635" s="296"/>
      <c r="T1635" s="3">
        <v>92</v>
      </c>
      <c r="U1635" s="294"/>
    </row>
    <row r="1636" spans="1:21" ht="110.15" customHeight="1" x14ac:dyDescent="0.35">
      <c r="A1636" s="218" t="s">
        <v>3921</v>
      </c>
      <c r="B1636" s="3">
        <v>1541</v>
      </c>
      <c r="C1636" s="68">
        <v>10108129</v>
      </c>
      <c r="D1636" s="24" t="s">
        <v>1053</v>
      </c>
      <c r="E1636" s="18" t="s">
        <v>2237</v>
      </c>
      <c r="F1636" s="91">
        <v>8</v>
      </c>
      <c r="G1636" s="3" t="s">
        <v>0</v>
      </c>
      <c r="H1636" s="54" t="s">
        <v>518</v>
      </c>
      <c r="I1636" s="4" t="s">
        <v>989</v>
      </c>
      <c r="J1636" s="25" t="s">
        <v>1210</v>
      </c>
      <c r="K1636" s="23" t="s">
        <v>1053</v>
      </c>
      <c r="L1636" s="6" t="s">
        <v>871</v>
      </c>
      <c r="M1636" s="81">
        <f t="shared" si="352"/>
        <v>244775.32</v>
      </c>
      <c r="N1636" s="81">
        <f t="shared" si="353"/>
        <v>30596.92</v>
      </c>
      <c r="O1636" s="81">
        <v>244775.32</v>
      </c>
      <c r="P1636" s="72">
        <v>178130</v>
      </c>
      <c r="Q1636" s="256">
        <f t="shared" ref="Q1636:Q1667" si="354">R1636-P1636</f>
        <v>39188.6</v>
      </c>
      <c r="R1636" s="256">
        <f t="shared" ref="R1636:R1670" si="355">P1636*1.22</f>
        <v>217318.6</v>
      </c>
      <c r="S1636" s="296"/>
      <c r="T1636" s="3">
        <v>92</v>
      </c>
      <c r="U1636" s="294"/>
    </row>
    <row r="1637" spans="1:21" ht="110.15" customHeight="1" x14ac:dyDescent="0.35">
      <c r="A1637" s="218" t="s">
        <v>3922</v>
      </c>
      <c r="B1637" s="3">
        <v>1542</v>
      </c>
      <c r="C1637" s="68">
        <v>10108139</v>
      </c>
      <c r="D1637" s="24" t="s">
        <v>1054</v>
      </c>
      <c r="E1637" s="18" t="s">
        <v>2237</v>
      </c>
      <c r="F1637" s="91">
        <v>12</v>
      </c>
      <c r="G1637" s="3" t="s">
        <v>0</v>
      </c>
      <c r="H1637" s="54" t="s">
        <v>523</v>
      </c>
      <c r="I1637" s="4" t="s">
        <v>989</v>
      </c>
      <c r="J1637" s="25" t="s">
        <v>1211</v>
      </c>
      <c r="K1637" s="23" t="s">
        <v>1054</v>
      </c>
      <c r="L1637" s="6" t="s">
        <v>871</v>
      </c>
      <c r="M1637" s="81">
        <f t="shared" si="352"/>
        <v>400589.36</v>
      </c>
      <c r="N1637" s="81">
        <f t="shared" si="353"/>
        <v>33382.449999999997</v>
      </c>
      <c r="O1637" s="81">
        <v>400589.36</v>
      </c>
      <c r="P1637" s="72">
        <v>291520</v>
      </c>
      <c r="Q1637" s="256">
        <f t="shared" si="354"/>
        <v>64134.400000000001</v>
      </c>
      <c r="R1637" s="256">
        <f t="shared" si="355"/>
        <v>355654.40000000002</v>
      </c>
      <c r="S1637" s="296"/>
      <c r="T1637" s="3">
        <v>92</v>
      </c>
      <c r="U1637" s="294"/>
    </row>
    <row r="1638" spans="1:21" ht="120" customHeight="1" x14ac:dyDescent="0.35">
      <c r="A1638" s="218" t="s">
        <v>3923</v>
      </c>
      <c r="B1638" s="3">
        <v>1543</v>
      </c>
      <c r="C1638" s="68">
        <v>10108055</v>
      </c>
      <c r="D1638" s="24" t="s">
        <v>1055</v>
      </c>
      <c r="E1638" s="18" t="s">
        <v>2237</v>
      </c>
      <c r="F1638" s="91">
        <v>14</v>
      </c>
      <c r="G1638" s="3" t="s">
        <v>0</v>
      </c>
      <c r="H1638" s="54" t="s">
        <v>523</v>
      </c>
      <c r="I1638" s="4" t="s">
        <v>989</v>
      </c>
      <c r="J1638" s="25" t="s">
        <v>1212</v>
      </c>
      <c r="K1638" s="23" t="s">
        <v>1055</v>
      </c>
      <c r="L1638" s="6" t="s">
        <v>871</v>
      </c>
      <c r="M1638" s="81">
        <f t="shared" si="352"/>
        <v>491065.78</v>
      </c>
      <c r="N1638" s="81">
        <f t="shared" si="353"/>
        <v>35076.129999999997</v>
      </c>
      <c r="O1638" s="81">
        <v>491065.78</v>
      </c>
      <c r="P1638" s="72">
        <v>357370</v>
      </c>
      <c r="Q1638" s="256">
        <f t="shared" si="354"/>
        <v>78621.399999999994</v>
      </c>
      <c r="R1638" s="256">
        <f t="shared" si="355"/>
        <v>435991.4</v>
      </c>
      <c r="S1638" s="296"/>
      <c r="T1638" s="3">
        <v>92</v>
      </c>
      <c r="U1638" s="294"/>
    </row>
    <row r="1639" spans="1:21" ht="120" customHeight="1" x14ac:dyDescent="0.35">
      <c r="A1639" s="218" t="s">
        <v>3924</v>
      </c>
      <c r="B1639" s="3">
        <v>1544</v>
      </c>
      <c r="C1639" s="68">
        <v>10108250</v>
      </c>
      <c r="D1639" s="24" t="s">
        <v>1056</v>
      </c>
      <c r="E1639" s="18" t="s">
        <v>2237</v>
      </c>
      <c r="F1639" s="91">
        <v>7</v>
      </c>
      <c r="G1639" s="3" t="s">
        <v>0</v>
      </c>
      <c r="H1639" s="54" t="s">
        <v>523</v>
      </c>
      <c r="I1639" s="4" t="s">
        <v>989</v>
      </c>
      <c r="J1639" s="25" t="s">
        <v>1213</v>
      </c>
      <c r="K1639" s="23" t="s">
        <v>1056</v>
      </c>
      <c r="L1639" s="6" t="s">
        <v>871</v>
      </c>
      <c r="M1639" s="81">
        <f t="shared" si="352"/>
        <v>252271.98</v>
      </c>
      <c r="N1639" s="81">
        <f t="shared" si="353"/>
        <v>36038.85</v>
      </c>
      <c r="O1639" s="81">
        <v>252271.98</v>
      </c>
      <c r="P1639" s="72">
        <v>131380</v>
      </c>
      <c r="Q1639" s="256">
        <f t="shared" si="354"/>
        <v>28903.599999999999</v>
      </c>
      <c r="R1639" s="256">
        <f t="shared" si="355"/>
        <v>160283.6</v>
      </c>
      <c r="S1639" s="296"/>
      <c r="T1639" s="3">
        <v>92</v>
      </c>
      <c r="U1639" s="294"/>
    </row>
    <row r="1640" spans="1:21" ht="120" customHeight="1" x14ac:dyDescent="0.35">
      <c r="A1640" s="218" t="s">
        <v>3925</v>
      </c>
      <c r="B1640" s="3">
        <v>1545</v>
      </c>
      <c r="C1640" s="68">
        <v>10108215</v>
      </c>
      <c r="D1640" s="24" t="s">
        <v>1057</v>
      </c>
      <c r="E1640" s="18" t="s">
        <v>2237</v>
      </c>
      <c r="F1640" s="91">
        <v>13</v>
      </c>
      <c r="G1640" s="3" t="s">
        <v>0</v>
      </c>
      <c r="H1640" s="54" t="s">
        <v>522</v>
      </c>
      <c r="I1640" s="4" t="s">
        <v>989</v>
      </c>
      <c r="J1640" s="25" t="s">
        <v>1214</v>
      </c>
      <c r="K1640" s="23" t="s">
        <v>1057</v>
      </c>
      <c r="L1640" s="6" t="s">
        <v>871</v>
      </c>
      <c r="M1640" s="81">
        <f t="shared" si="352"/>
        <v>496448.86</v>
      </c>
      <c r="N1640" s="81">
        <f t="shared" si="353"/>
        <v>38188.370000000003</v>
      </c>
      <c r="O1640" s="81">
        <v>496448.86</v>
      </c>
      <c r="P1640" s="72">
        <v>253730</v>
      </c>
      <c r="Q1640" s="256">
        <f t="shared" si="354"/>
        <v>55820.6</v>
      </c>
      <c r="R1640" s="256">
        <f t="shared" si="355"/>
        <v>309550.59999999998</v>
      </c>
      <c r="S1640" s="296"/>
      <c r="T1640" s="3">
        <v>92</v>
      </c>
      <c r="U1640" s="294"/>
    </row>
    <row r="1641" spans="1:21" ht="45" customHeight="1" x14ac:dyDescent="0.35">
      <c r="A1641" s="218" t="s">
        <v>3926</v>
      </c>
      <c r="B1641" s="3">
        <v>1546</v>
      </c>
      <c r="C1641" s="68">
        <v>10118558</v>
      </c>
      <c r="D1641" s="24" t="s">
        <v>1058</v>
      </c>
      <c r="E1641" s="18" t="s">
        <v>2237</v>
      </c>
      <c r="F1641" s="91">
        <v>8</v>
      </c>
      <c r="G1641" s="3" t="s">
        <v>0</v>
      </c>
      <c r="H1641" s="54" t="s">
        <v>523</v>
      </c>
      <c r="I1641" s="4" t="s">
        <v>989</v>
      </c>
      <c r="J1641" s="25" t="s">
        <v>1215</v>
      </c>
      <c r="K1641" s="23" t="s">
        <v>1058</v>
      </c>
      <c r="L1641" s="6" t="s">
        <v>871</v>
      </c>
      <c r="M1641" s="81">
        <f t="shared" si="352"/>
        <v>314404</v>
      </c>
      <c r="N1641" s="81">
        <f t="shared" si="353"/>
        <v>39300.5</v>
      </c>
      <c r="O1641" s="81">
        <v>314404</v>
      </c>
      <c r="P1641" s="72">
        <v>163740</v>
      </c>
      <c r="Q1641" s="256">
        <f t="shared" si="354"/>
        <v>36022.800000000003</v>
      </c>
      <c r="R1641" s="256">
        <f t="shared" si="355"/>
        <v>199762.8</v>
      </c>
      <c r="S1641" s="296"/>
      <c r="T1641" s="3">
        <v>92</v>
      </c>
      <c r="U1641" s="294"/>
    </row>
    <row r="1642" spans="1:21" ht="200.15" customHeight="1" x14ac:dyDescent="0.35">
      <c r="A1642" s="218" t="s">
        <v>3927</v>
      </c>
      <c r="B1642" s="3">
        <v>1547</v>
      </c>
      <c r="C1642" s="68">
        <v>10108241</v>
      </c>
      <c r="D1642" s="24" t="s">
        <v>1059</v>
      </c>
      <c r="E1642" s="18" t="s">
        <v>2237</v>
      </c>
      <c r="F1642" s="91">
        <v>26</v>
      </c>
      <c r="G1642" s="3" t="s">
        <v>0</v>
      </c>
      <c r="H1642" s="54" t="s">
        <v>523</v>
      </c>
      <c r="I1642" s="4" t="s">
        <v>989</v>
      </c>
      <c r="J1642" s="25" t="s">
        <v>1216</v>
      </c>
      <c r="K1642" s="23" t="s">
        <v>1059</v>
      </c>
      <c r="L1642" s="6" t="s">
        <v>871</v>
      </c>
      <c r="M1642" s="81">
        <f t="shared" si="352"/>
        <v>772494.25</v>
      </c>
      <c r="N1642" s="81">
        <f t="shared" si="353"/>
        <v>29711.32</v>
      </c>
      <c r="O1642" s="81">
        <v>772494.25</v>
      </c>
      <c r="P1642" s="72">
        <v>402320</v>
      </c>
      <c r="Q1642" s="256">
        <f t="shared" si="354"/>
        <v>88510.399999999994</v>
      </c>
      <c r="R1642" s="256">
        <f t="shared" si="355"/>
        <v>490830.4</v>
      </c>
      <c r="S1642" s="296"/>
      <c r="T1642" s="3">
        <v>92</v>
      </c>
      <c r="U1642" s="294"/>
    </row>
    <row r="1643" spans="1:21" ht="45" customHeight="1" x14ac:dyDescent="0.35">
      <c r="A1643" s="218" t="s">
        <v>3928</v>
      </c>
      <c r="B1643" s="3">
        <v>1548</v>
      </c>
      <c r="C1643" s="68">
        <v>10118616</v>
      </c>
      <c r="D1643" s="24" t="s">
        <v>1060</v>
      </c>
      <c r="E1643" s="18" t="s">
        <v>2237</v>
      </c>
      <c r="F1643" s="91">
        <v>2</v>
      </c>
      <c r="G1643" s="3" t="s">
        <v>0</v>
      </c>
      <c r="H1643" s="54" t="s">
        <v>523</v>
      </c>
      <c r="I1643" s="4" t="s">
        <v>989</v>
      </c>
      <c r="J1643" s="25" t="s">
        <v>2285</v>
      </c>
      <c r="K1643" s="23" t="s">
        <v>1060</v>
      </c>
      <c r="L1643" s="6" t="s">
        <v>871</v>
      </c>
      <c r="M1643" s="81">
        <f t="shared" si="352"/>
        <v>61807.33</v>
      </c>
      <c r="N1643" s="81">
        <f t="shared" si="353"/>
        <v>30903.67</v>
      </c>
      <c r="O1643" s="81">
        <v>61807.33</v>
      </c>
      <c r="P1643" s="72">
        <v>32190</v>
      </c>
      <c r="Q1643" s="256">
        <f t="shared" si="354"/>
        <v>7081.8</v>
      </c>
      <c r="R1643" s="256">
        <f t="shared" si="355"/>
        <v>39271.800000000003</v>
      </c>
      <c r="S1643" s="296"/>
      <c r="T1643" s="3">
        <v>92</v>
      </c>
      <c r="U1643" s="294"/>
    </row>
    <row r="1644" spans="1:21" ht="33.65" customHeight="1" x14ac:dyDescent="0.35">
      <c r="A1644" s="218" t="s">
        <v>3929</v>
      </c>
      <c r="B1644" s="3">
        <v>1549</v>
      </c>
      <c r="C1644" s="68">
        <v>10108229</v>
      </c>
      <c r="D1644" s="24" t="s">
        <v>1061</v>
      </c>
      <c r="E1644" s="18" t="s">
        <v>2237</v>
      </c>
      <c r="F1644" s="91">
        <v>5</v>
      </c>
      <c r="G1644" s="3" t="s">
        <v>0</v>
      </c>
      <c r="H1644" s="54" t="s">
        <v>523</v>
      </c>
      <c r="I1644" s="4" t="s">
        <v>989</v>
      </c>
      <c r="J1644" s="25" t="s">
        <v>2285</v>
      </c>
      <c r="K1644" s="23" t="s">
        <v>1061</v>
      </c>
      <c r="L1644" s="6" t="s">
        <v>871</v>
      </c>
      <c r="M1644" s="81">
        <f t="shared" si="352"/>
        <v>158634.75</v>
      </c>
      <c r="N1644" s="81">
        <f t="shared" si="353"/>
        <v>31726.95</v>
      </c>
      <c r="O1644" s="81">
        <v>158634.75</v>
      </c>
      <c r="P1644" s="72">
        <v>82620</v>
      </c>
      <c r="Q1644" s="256">
        <f t="shared" si="354"/>
        <v>18176.400000000001</v>
      </c>
      <c r="R1644" s="256">
        <f t="shared" si="355"/>
        <v>100796.4</v>
      </c>
      <c r="S1644" s="296"/>
      <c r="T1644" s="3">
        <v>92</v>
      </c>
      <c r="U1644" s="294"/>
    </row>
    <row r="1645" spans="1:21" ht="96" customHeight="1" x14ac:dyDescent="0.35">
      <c r="A1645" s="218" t="s">
        <v>3930</v>
      </c>
      <c r="B1645" s="3">
        <v>1550</v>
      </c>
      <c r="C1645" s="68">
        <v>10118625</v>
      </c>
      <c r="D1645" s="24" t="s">
        <v>1062</v>
      </c>
      <c r="E1645" s="18" t="s">
        <v>2237</v>
      </c>
      <c r="F1645" s="91">
        <v>7</v>
      </c>
      <c r="G1645" s="3" t="s">
        <v>0</v>
      </c>
      <c r="H1645" s="54" t="s">
        <v>523</v>
      </c>
      <c r="I1645" s="4" t="s">
        <v>989</v>
      </c>
      <c r="J1645" s="25" t="s">
        <v>1217</v>
      </c>
      <c r="K1645" s="23" t="s">
        <v>1062</v>
      </c>
      <c r="L1645" s="6" t="s">
        <v>871</v>
      </c>
      <c r="M1645" s="81">
        <f t="shared" si="352"/>
        <v>214618.7</v>
      </c>
      <c r="N1645" s="81">
        <f t="shared" si="353"/>
        <v>30659.81</v>
      </c>
      <c r="O1645" s="81">
        <v>214618.7</v>
      </c>
      <c r="P1645" s="72">
        <v>111770</v>
      </c>
      <c r="Q1645" s="256">
        <f t="shared" si="354"/>
        <v>24589.4</v>
      </c>
      <c r="R1645" s="256">
        <f t="shared" si="355"/>
        <v>136359.4</v>
      </c>
      <c r="S1645" s="296"/>
      <c r="T1645" s="3">
        <v>92</v>
      </c>
      <c r="U1645" s="294"/>
    </row>
    <row r="1646" spans="1:21" ht="81.75" customHeight="1" x14ac:dyDescent="0.35">
      <c r="A1646" s="218" t="s">
        <v>3931</v>
      </c>
      <c r="B1646" s="3">
        <v>1551</v>
      </c>
      <c r="C1646" s="68">
        <v>10108243</v>
      </c>
      <c r="D1646" s="24" t="s">
        <v>1063</v>
      </c>
      <c r="E1646" s="18" t="s">
        <v>2237</v>
      </c>
      <c r="F1646" s="91">
        <v>8</v>
      </c>
      <c r="G1646" s="3" t="s">
        <v>0</v>
      </c>
      <c r="H1646" s="54" t="s">
        <v>523</v>
      </c>
      <c r="I1646" s="4" t="s">
        <v>989</v>
      </c>
      <c r="J1646" s="25" t="s">
        <v>1218</v>
      </c>
      <c r="K1646" s="23" t="s">
        <v>1063</v>
      </c>
      <c r="L1646" s="6" t="s">
        <v>871</v>
      </c>
      <c r="M1646" s="81">
        <f t="shared" si="352"/>
        <v>267191.48</v>
      </c>
      <c r="N1646" s="81">
        <f t="shared" si="353"/>
        <v>33398.94</v>
      </c>
      <c r="O1646" s="81">
        <v>267191.48</v>
      </c>
      <c r="P1646" s="72">
        <v>139150</v>
      </c>
      <c r="Q1646" s="256">
        <f t="shared" si="354"/>
        <v>30613</v>
      </c>
      <c r="R1646" s="256">
        <f t="shared" si="355"/>
        <v>169763</v>
      </c>
      <c r="S1646" s="296"/>
      <c r="T1646" s="3">
        <v>92</v>
      </c>
      <c r="U1646" s="294"/>
    </row>
    <row r="1647" spans="1:21" ht="87" customHeight="1" x14ac:dyDescent="0.35">
      <c r="A1647" s="218" t="s">
        <v>3932</v>
      </c>
      <c r="B1647" s="3">
        <v>1552</v>
      </c>
      <c r="C1647" s="68">
        <v>10118615</v>
      </c>
      <c r="D1647" s="24" t="s">
        <v>1064</v>
      </c>
      <c r="E1647" s="18" t="s">
        <v>2237</v>
      </c>
      <c r="F1647" s="91">
        <v>5</v>
      </c>
      <c r="G1647" s="3" t="s">
        <v>0</v>
      </c>
      <c r="H1647" s="54" t="s">
        <v>523</v>
      </c>
      <c r="I1647" s="4" t="s">
        <v>989</v>
      </c>
      <c r="J1647" s="25" t="s">
        <v>1219</v>
      </c>
      <c r="K1647" s="23" t="s">
        <v>1064</v>
      </c>
      <c r="L1647" s="6" t="s">
        <v>871</v>
      </c>
      <c r="M1647" s="81">
        <f t="shared" si="352"/>
        <v>165362.5</v>
      </c>
      <c r="N1647" s="81">
        <f t="shared" si="353"/>
        <v>33072.5</v>
      </c>
      <c r="O1647" s="81">
        <v>165362.5</v>
      </c>
      <c r="P1647" s="72">
        <v>86120</v>
      </c>
      <c r="Q1647" s="256">
        <f t="shared" si="354"/>
        <v>18946.400000000001</v>
      </c>
      <c r="R1647" s="256">
        <f t="shared" si="355"/>
        <v>105066.4</v>
      </c>
      <c r="S1647" s="296"/>
      <c r="T1647" s="3">
        <v>92</v>
      </c>
      <c r="U1647" s="294"/>
    </row>
    <row r="1648" spans="1:21" ht="150" customHeight="1" x14ac:dyDescent="0.35">
      <c r="A1648" s="218" t="s">
        <v>3933</v>
      </c>
      <c r="B1648" s="3">
        <v>1553</v>
      </c>
      <c r="C1648" s="68">
        <v>10118593</v>
      </c>
      <c r="D1648" s="24" t="s">
        <v>1065</v>
      </c>
      <c r="E1648" s="18" t="s">
        <v>2237</v>
      </c>
      <c r="F1648" s="91">
        <v>21</v>
      </c>
      <c r="G1648" s="3" t="s">
        <v>0</v>
      </c>
      <c r="H1648" s="54" t="s">
        <v>523</v>
      </c>
      <c r="I1648" s="4" t="s">
        <v>989</v>
      </c>
      <c r="J1648" s="25" t="s">
        <v>1220</v>
      </c>
      <c r="K1648" s="23" t="s">
        <v>1065</v>
      </c>
      <c r="L1648" s="6" t="s">
        <v>871</v>
      </c>
      <c r="M1648" s="81">
        <f t="shared" si="352"/>
        <v>690952.1</v>
      </c>
      <c r="N1648" s="81">
        <f t="shared" si="353"/>
        <v>32902.480000000003</v>
      </c>
      <c r="O1648" s="81">
        <v>690952.1</v>
      </c>
      <c r="P1648" s="72">
        <v>359850</v>
      </c>
      <c r="Q1648" s="256">
        <f t="shared" si="354"/>
        <v>79167</v>
      </c>
      <c r="R1648" s="256">
        <f t="shared" si="355"/>
        <v>439017</v>
      </c>
      <c r="S1648" s="296"/>
      <c r="T1648" s="3">
        <v>92</v>
      </c>
      <c r="U1648" s="294"/>
    </row>
    <row r="1649" spans="1:21" ht="40.5" customHeight="1" x14ac:dyDescent="0.35">
      <c r="A1649" s="218" t="s">
        <v>3934</v>
      </c>
      <c r="B1649" s="3">
        <v>1554</v>
      </c>
      <c r="C1649" s="68">
        <v>10108272</v>
      </c>
      <c r="D1649" s="24" t="s">
        <v>1066</v>
      </c>
      <c r="E1649" s="18" t="s">
        <v>2237</v>
      </c>
      <c r="F1649" s="91">
        <v>4</v>
      </c>
      <c r="G1649" s="3" t="s">
        <v>0</v>
      </c>
      <c r="H1649" s="54" t="s">
        <v>523</v>
      </c>
      <c r="I1649" s="4" t="s">
        <v>989</v>
      </c>
      <c r="J1649" s="25" t="s">
        <v>1221</v>
      </c>
      <c r="K1649" s="23" t="s">
        <v>1066</v>
      </c>
      <c r="L1649" s="6" t="s">
        <v>871</v>
      </c>
      <c r="M1649" s="81">
        <f t="shared" si="352"/>
        <v>140324</v>
      </c>
      <c r="N1649" s="81">
        <f t="shared" si="353"/>
        <v>35081</v>
      </c>
      <c r="O1649" s="81">
        <v>140324</v>
      </c>
      <c r="P1649" s="72">
        <v>73080</v>
      </c>
      <c r="Q1649" s="256">
        <f t="shared" si="354"/>
        <v>16077.6</v>
      </c>
      <c r="R1649" s="256">
        <f t="shared" si="355"/>
        <v>89157.6</v>
      </c>
      <c r="S1649" s="296"/>
      <c r="T1649" s="3">
        <v>92</v>
      </c>
      <c r="U1649" s="294"/>
    </row>
    <row r="1650" spans="1:21" ht="100" customHeight="1" x14ac:dyDescent="0.35">
      <c r="A1650" s="218" t="s">
        <v>3935</v>
      </c>
      <c r="B1650" s="3">
        <v>1555</v>
      </c>
      <c r="C1650" s="68">
        <v>10118624</v>
      </c>
      <c r="D1650" s="24" t="s">
        <v>1067</v>
      </c>
      <c r="E1650" s="18" t="s">
        <v>2237</v>
      </c>
      <c r="F1650" s="91">
        <v>9</v>
      </c>
      <c r="G1650" s="3" t="s">
        <v>0</v>
      </c>
      <c r="H1650" s="54" t="s">
        <v>523</v>
      </c>
      <c r="I1650" s="4" t="s">
        <v>989</v>
      </c>
      <c r="J1650" s="25" t="s">
        <v>1222</v>
      </c>
      <c r="K1650" s="23" t="s">
        <v>1067</v>
      </c>
      <c r="L1650" s="6" t="s">
        <v>871</v>
      </c>
      <c r="M1650" s="81">
        <f t="shared" si="352"/>
        <v>325052.40999999997</v>
      </c>
      <c r="N1650" s="81">
        <f t="shared" si="353"/>
        <v>36116.93</v>
      </c>
      <c r="O1650" s="81">
        <v>325052.40999999997</v>
      </c>
      <c r="P1650" s="72">
        <v>169290</v>
      </c>
      <c r="Q1650" s="256">
        <f t="shared" si="354"/>
        <v>37243.800000000003</v>
      </c>
      <c r="R1650" s="256">
        <f t="shared" si="355"/>
        <v>206533.8</v>
      </c>
      <c r="S1650" s="296"/>
      <c r="T1650" s="3">
        <v>92</v>
      </c>
      <c r="U1650" s="294"/>
    </row>
    <row r="1651" spans="1:21" ht="100" customHeight="1" x14ac:dyDescent="0.35">
      <c r="A1651" s="218" t="s">
        <v>3936</v>
      </c>
      <c r="B1651" s="3">
        <v>1556</v>
      </c>
      <c r="C1651" s="68">
        <v>10108128</v>
      </c>
      <c r="D1651" s="24" t="s">
        <v>1068</v>
      </c>
      <c r="E1651" s="18" t="s">
        <v>2237</v>
      </c>
      <c r="F1651" s="91">
        <v>7</v>
      </c>
      <c r="G1651" s="3" t="s">
        <v>0</v>
      </c>
      <c r="H1651" s="54" t="s">
        <v>518</v>
      </c>
      <c r="I1651" s="4" t="s">
        <v>989</v>
      </c>
      <c r="J1651" s="25" t="s">
        <v>1223</v>
      </c>
      <c r="K1651" s="23" t="s">
        <v>1068</v>
      </c>
      <c r="L1651" s="6" t="s">
        <v>871</v>
      </c>
      <c r="M1651" s="81">
        <f t="shared" si="352"/>
        <v>240013.42</v>
      </c>
      <c r="N1651" s="81">
        <f t="shared" si="353"/>
        <v>34287.629999999997</v>
      </c>
      <c r="O1651" s="81">
        <v>240013.42</v>
      </c>
      <c r="P1651" s="72">
        <v>134060</v>
      </c>
      <c r="Q1651" s="256">
        <f t="shared" si="354"/>
        <v>29493.200000000001</v>
      </c>
      <c r="R1651" s="256">
        <f t="shared" si="355"/>
        <v>163553.20000000001</v>
      </c>
      <c r="S1651" s="296"/>
      <c r="T1651" s="3">
        <v>92</v>
      </c>
      <c r="U1651" s="294"/>
    </row>
    <row r="1652" spans="1:21" ht="61.5" customHeight="1" x14ac:dyDescent="0.35">
      <c r="A1652" s="218" t="s">
        <v>3937</v>
      </c>
      <c r="B1652" s="3">
        <v>1557</v>
      </c>
      <c r="C1652" s="68">
        <v>10118632</v>
      </c>
      <c r="D1652" s="24" t="s">
        <v>1069</v>
      </c>
      <c r="E1652" s="18" t="s">
        <v>2237</v>
      </c>
      <c r="F1652" s="91">
        <v>6</v>
      </c>
      <c r="G1652" s="3" t="s">
        <v>0</v>
      </c>
      <c r="H1652" s="54" t="s">
        <v>523</v>
      </c>
      <c r="I1652" s="4" t="s">
        <v>989</v>
      </c>
      <c r="J1652" s="25" t="s">
        <v>1224</v>
      </c>
      <c r="K1652" s="23" t="s">
        <v>1069</v>
      </c>
      <c r="L1652" s="6" t="s">
        <v>871</v>
      </c>
      <c r="M1652" s="81">
        <f t="shared" si="352"/>
        <v>220138.5</v>
      </c>
      <c r="N1652" s="81">
        <f t="shared" si="353"/>
        <v>36689.75</v>
      </c>
      <c r="O1652" s="81">
        <v>220138.5</v>
      </c>
      <c r="P1652" s="72">
        <v>114650</v>
      </c>
      <c r="Q1652" s="256">
        <f t="shared" si="354"/>
        <v>25223</v>
      </c>
      <c r="R1652" s="256">
        <f t="shared" si="355"/>
        <v>139873</v>
      </c>
      <c r="S1652" s="296"/>
      <c r="T1652" s="3">
        <v>92</v>
      </c>
      <c r="U1652" s="294"/>
    </row>
    <row r="1653" spans="1:21" ht="95.15" customHeight="1" x14ac:dyDescent="0.35">
      <c r="A1653" s="218" t="s">
        <v>3938</v>
      </c>
      <c r="B1653" s="3">
        <v>1558</v>
      </c>
      <c r="C1653" s="68">
        <v>10108310</v>
      </c>
      <c r="D1653" s="24" t="s">
        <v>1070</v>
      </c>
      <c r="E1653" s="18" t="s">
        <v>2237</v>
      </c>
      <c r="F1653" s="91">
        <v>6</v>
      </c>
      <c r="G1653" s="3" t="s">
        <v>0</v>
      </c>
      <c r="H1653" s="54" t="s">
        <v>523</v>
      </c>
      <c r="I1653" s="4" t="s">
        <v>989</v>
      </c>
      <c r="J1653" s="25" t="s">
        <v>1225</v>
      </c>
      <c r="K1653" s="23" t="s">
        <v>1070</v>
      </c>
      <c r="L1653" s="6" t="s">
        <v>871</v>
      </c>
      <c r="M1653" s="81">
        <f t="shared" si="352"/>
        <v>228375.97</v>
      </c>
      <c r="N1653" s="81">
        <f t="shared" si="353"/>
        <v>38062.660000000003</v>
      </c>
      <c r="O1653" s="81">
        <v>228375.97</v>
      </c>
      <c r="P1653" s="72">
        <v>118940</v>
      </c>
      <c r="Q1653" s="256">
        <f t="shared" si="354"/>
        <v>26166.799999999999</v>
      </c>
      <c r="R1653" s="256">
        <f t="shared" si="355"/>
        <v>145106.79999999999</v>
      </c>
      <c r="S1653" s="296"/>
      <c r="T1653" s="3">
        <v>92</v>
      </c>
      <c r="U1653" s="294"/>
    </row>
    <row r="1654" spans="1:21" ht="65.150000000000006" customHeight="1" x14ac:dyDescent="0.35">
      <c r="A1654" s="218" t="s">
        <v>3939</v>
      </c>
      <c r="B1654" s="3">
        <v>1559</v>
      </c>
      <c r="C1654" s="68">
        <v>10117101</v>
      </c>
      <c r="D1654" s="24" t="s">
        <v>1137</v>
      </c>
      <c r="E1654" s="18" t="s">
        <v>2237</v>
      </c>
      <c r="F1654" s="91">
        <v>10</v>
      </c>
      <c r="G1654" s="3" t="s">
        <v>0</v>
      </c>
      <c r="H1654" s="54" t="s">
        <v>523</v>
      </c>
      <c r="I1654" s="4" t="s">
        <v>989</v>
      </c>
      <c r="J1654" s="25" t="s">
        <v>1227</v>
      </c>
      <c r="K1654" s="23" t="s">
        <v>1137</v>
      </c>
      <c r="L1654" s="6" t="s">
        <v>871</v>
      </c>
      <c r="M1654" s="81">
        <f t="shared" si="352"/>
        <v>103824</v>
      </c>
      <c r="N1654" s="81">
        <f t="shared" si="353"/>
        <v>10382.4</v>
      </c>
      <c r="O1654" s="81">
        <v>103824</v>
      </c>
      <c r="P1654" s="72">
        <v>54070</v>
      </c>
      <c r="Q1654" s="256">
        <f t="shared" si="354"/>
        <v>11895.4</v>
      </c>
      <c r="R1654" s="256">
        <f t="shared" si="355"/>
        <v>65965.399999999994</v>
      </c>
      <c r="S1654" s="296"/>
      <c r="T1654" s="3">
        <v>92</v>
      </c>
      <c r="U1654" s="294"/>
    </row>
    <row r="1655" spans="1:21" ht="61.5" customHeight="1" x14ac:dyDescent="0.35">
      <c r="A1655" s="218" t="s">
        <v>3940</v>
      </c>
      <c r="B1655" s="3">
        <v>1560</v>
      </c>
      <c r="C1655" s="68">
        <v>10117121</v>
      </c>
      <c r="D1655" s="24" t="s">
        <v>1138</v>
      </c>
      <c r="E1655" s="18" t="s">
        <v>2237</v>
      </c>
      <c r="F1655" s="91">
        <v>10</v>
      </c>
      <c r="G1655" s="3" t="s">
        <v>0</v>
      </c>
      <c r="H1655" s="54" t="s">
        <v>1158</v>
      </c>
      <c r="I1655" s="4" t="s">
        <v>989</v>
      </c>
      <c r="J1655" s="25" t="s">
        <v>1228</v>
      </c>
      <c r="K1655" s="23" t="s">
        <v>1138</v>
      </c>
      <c r="L1655" s="6" t="s">
        <v>871</v>
      </c>
      <c r="M1655" s="81">
        <f t="shared" si="352"/>
        <v>116704</v>
      </c>
      <c r="N1655" s="81">
        <f t="shared" si="353"/>
        <v>11670.4</v>
      </c>
      <c r="O1655" s="81">
        <v>116704</v>
      </c>
      <c r="P1655" s="72">
        <v>65190</v>
      </c>
      <c r="Q1655" s="256">
        <f t="shared" si="354"/>
        <v>14341.8</v>
      </c>
      <c r="R1655" s="256">
        <f t="shared" si="355"/>
        <v>79531.8</v>
      </c>
      <c r="S1655" s="296"/>
      <c r="T1655" s="3">
        <v>92</v>
      </c>
      <c r="U1655" s="294"/>
    </row>
    <row r="1656" spans="1:21" ht="55.5" customHeight="1" x14ac:dyDescent="0.35">
      <c r="A1656" s="218" t="s">
        <v>3941</v>
      </c>
      <c r="B1656" s="3">
        <v>1561</v>
      </c>
      <c r="C1656" s="68">
        <v>10117033</v>
      </c>
      <c r="D1656" s="24" t="s">
        <v>1139</v>
      </c>
      <c r="E1656" s="18" t="s">
        <v>2237</v>
      </c>
      <c r="F1656" s="91">
        <v>10</v>
      </c>
      <c r="G1656" s="3" t="s">
        <v>0</v>
      </c>
      <c r="H1656" s="54" t="s">
        <v>1158</v>
      </c>
      <c r="I1656" s="4" t="s">
        <v>989</v>
      </c>
      <c r="J1656" s="25" t="s">
        <v>1229</v>
      </c>
      <c r="K1656" s="23" t="s">
        <v>1139</v>
      </c>
      <c r="L1656" s="6" t="s">
        <v>871</v>
      </c>
      <c r="M1656" s="81">
        <f t="shared" si="352"/>
        <v>126224</v>
      </c>
      <c r="N1656" s="81">
        <f t="shared" si="353"/>
        <v>12622.4</v>
      </c>
      <c r="O1656" s="81">
        <v>126224</v>
      </c>
      <c r="P1656" s="72">
        <v>70500</v>
      </c>
      <c r="Q1656" s="256">
        <f t="shared" si="354"/>
        <v>15510</v>
      </c>
      <c r="R1656" s="256">
        <f t="shared" si="355"/>
        <v>86010</v>
      </c>
      <c r="S1656" s="296"/>
      <c r="T1656" s="3">
        <v>92</v>
      </c>
      <c r="U1656" s="294"/>
    </row>
    <row r="1657" spans="1:21" ht="46.5" customHeight="1" x14ac:dyDescent="0.35">
      <c r="A1657" s="218" t="s">
        <v>3942</v>
      </c>
      <c r="B1657" s="3">
        <v>1562</v>
      </c>
      <c r="C1657" s="68">
        <v>10120467</v>
      </c>
      <c r="D1657" s="24" t="s">
        <v>1140</v>
      </c>
      <c r="E1657" s="18" t="s">
        <v>2237</v>
      </c>
      <c r="F1657" s="91">
        <v>6</v>
      </c>
      <c r="G1657" s="3" t="s">
        <v>0</v>
      </c>
      <c r="H1657" s="54" t="s">
        <v>520</v>
      </c>
      <c r="I1657" s="4" t="s">
        <v>989</v>
      </c>
      <c r="J1657" s="25" t="s">
        <v>1230</v>
      </c>
      <c r="K1657" s="23" t="s">
        <v>1140</v>
      </c>
      <c r="L1657" s="6" t="s">
        <v>871</v>
      </c>
      <c r="M1657" s="81">
        <f t="shared" si="352"/>
        <v>223926.21</v>
      </c>
      <c r="N1657" s="81">
        <f t="shared" si="353"/>
        <v>37321.040000000001</v>
      </c>
      <c r="O1657" s="81">
        <v>223926.21</v>
      </c>
      <c r="P1657" s="72">
        <v>114440</v>
      </c>
      <c r="Q1657" s="256">
        <f t="shared" si="354"/>
        <v>25176.799999999999</v>
      </c>
      <c r="R1657" s="256">
        <f t="shared" si="355"/>
        <v>139616.79999999999</v>
      </c>
      <c r="S1657" s="296"/>
      <c r="T1657" s="3">
        <v>92</v>
      </c>
      <c r="U1657" s="294"/>
    </row>
    <row r="1658" spans="1:21" ht="69" customHeight="1" x14ac:dyDescent="0.35">
      <c r="A1658" s="218" t="s">
        <v>3943</v>
      </c>
      <c r="B1658" s="3">
        <v>1563</v>
      </c>
      <c r="C1658" s="68">
        <v>10118640</v>
      </c>
      <c r="D1658" s="24" t="s">
        <v>1141</v>
      </c>
      <c r="E1658" s="18" t="s">
        <v>2237</v>
      </c>
      <c r="F1658" s="91">
        <v>11</v>
      </c>
      <c r="G1658" s="3" t="s">
        <v>0</v>
      </c>
      <c r="H1658" s="54" t="s">
        <v>523</v>
      </c>
      <c r="I1658" s="4" t="s">
        <v>989</v>
      </c>
      <c r="J1658" s="25" t="s">
        <v>1231</v>
      </c>
      <c r="K1658" s="23" t="s">
        <v>1141</v>
      </c>
      <c r="L1658" s="6" t="s">
        <v>871</v>
      </c>
      <c r="M1658" s="81">
        <f t="shared" si="352"/>
        <v>346376.8</v>
      </c>
      <c r="N1658" s="81">
        <f t="shared" si="353"/>
        <v>31488.799999999999</v>
      </c>
      <c r="O1658" s="81">
        <v>346376.8</v>
      </c>
      <c r="P1658" s="72">
        <v>180400</v>
      </c>
      <c r="Q1658" s="256">
        <f t="shared" si="354"/>
        <v>39688</v>
      </c>
      <c r="R1658" s="256">
        <f t="shared" si="355"/>
        <v>220088</v>
      </c>
      <c r="S1658" s="296"/>
      <c r="T1658" s="3">
        <v>92</v>
      </c>
      <c r="U1658" s="294"/>
    </row>
    <row r="1659" spans="1:21" ht="80.150000000000006" customHeight="1" x14ac:dyDescent="0.35">
      <c r="A1659" s="218" t="s">
        <v>3944</v>
      </c>
      <c r="B1659" s="3">
        <v>1564</v>
      </c>
      <c r="C1659" s="68">
        <v>10118479</v>
      </c>
      <c r="D1659" s="24" t="s">
        <v>1142</v>
      </c>
      <c r="E1659" s="18" t="s">
        <v>2237</v>
      </c>
      <c r="F1659" s="91">
        <v>15</v>
      </c>
      <c r="G1659" s="3" t="s">
        <v>0</v>
      </c>
      <c r="H1659" s="54" t="s">
        <v>523</v>
      </c>
      <c r="I1659" s="4" t="s">
        <v>989</v>
      </c>
      <c r="J1659" s="25" t="s">
        <v>1232</v>
      </c>
      <c r="K1659" s="23" t="s">
        <v>1142</v>
      </c>
      <c r="L1659" s="6" t="s">
        <v>871</v>
      </c>
      <c r="M1659" s="81">
        <f t="shared" si="352"/>
        <v>502320</v>
      </c>
      <c r="N1659" s="81">
        <f t="shared" ref="N1659:N1670" si="356">O1659/F1659</f>
        <v>33488</v>
      </c>
      <c r="O1659" s="81">
        <v>502320</v>
      </c>
      <c r="P1659" s="72">
        <v>261610</v>
      </c>
      <c r="Q1659" s="256">
        <f t="shared" si="354"/>
        <v>57554.2</v>
      </c>
      <c r="R1659" s="256">
        <f t="shared" si="355"/>
        <v>319164.2</v>
      </c>
      <c r="S1659" s="296"/>
      <c r="T1659" s="3">
        <v>92</v>
      </c>
      <c r="U1659" s="294"/>
    </row>
    <row r="1660" spans="1:21" ht="49.5" customHeight="1" x14ac:dyDescent="0.35">
      <c r="A1660" s="218" t="s">
        <v>3945</v>
      </c>
      <c r="B1660" s="3">
        <v>1565</v>
      </c>
      <c r="C1660" s="68">
        <v>10117102</v>
      </c>
      <c r="D1660" s="24" t="s">
        <v>1143</v>
      </c>
      <c r="E1660" s="18" t="s">
        <v>2237</v>
      </c>
      <c r="F1660" s="91">
        <v>6</v>
      </c>
      <c r="G1660" s="3" t="s">
        <v>0</v>
      </c>
      <c r="H1660" s="54" t="s">
        <v>523</v>
      </c>
      <c r="I1660" s="4" t="s">
        <v>989</v>
      </c>
      <c r="J1660" s="25" t="s">
        <v>1233</v>
      </c>
      <c r="K1660" s="23" t="s">
        <v>1143</v>
      </c>
      <c r="L1660" s="6" t="s">
        <v>871</v>
      </c>
      <c r="M1660" s="81">
        <f t="shared" si="352"/>
        <v>124588.8</v>
      </c>
      <c r="N1660" s="81">
        <f t="shared" si="356"/>
        <v>20764.8</v>
      </c>
      <c r="O1660" s="81">
        <v>124588.8</v>
      </c>
      <c r="P1660" s="72">
        <v>64890</v>
      </c>
      <c r="Q1660" s="256">
        <f t="shared" si="354"/>
        <v>14275.8</v>
      </c>
      <c r="R1660" s="256">
        <f t="shared" si="355"/>
        <v>79165.8</v>
      </c>
      <c r="S1660" s="296"/>
      <c r="T1660" s="3">
        <v>92</v>
      </c>
      <c r="U1660" s="294"/>
    </row>
    <row r="1661" spans="1:21" ht="57" customHeight="1" x14ac:dyDescent="0.35">
      <c r="A1661" s="218" t="s">
        <v>3946</v>
      </c>
      <c r="B1661" s="3">
        <v>1566</v>
      </c>
      <c r="C1661" s="68">
        <v>10120540</v>
      </c>
      <c r="D1661" s="24" t="s">
        <v>1144</v>
      </c>
      <c r="E1661" s="18" t="s">
        <v>2237</v>
      </c>
      <c r="F1661" s="91">
        <v>9</v>
      </c>
      <c r="G1661" s="3" t="s">
        <v>0</v>
      </c>
      <c r="H1661" s="54" t="s">
        <v>523</v>
      </c>
      <c r="I1661" s="4" t="s">
        <v>989</v>
      </c>
      <c r="J1661" s="25" t="s">
        <v>1234</v>
      </c>
      <c r="K1661" s="23" t="s">
        <v>1144</v>
      </c>
      <c r="L1661" s="6" t="s">
        <v>871</v>
      </c>
      <c r="M1661" s="81">
        <f t="shared" si="352"/>
        <v>209129.4</v>
      </c>
      <c r="N1661" s="81">
        <f t="shared" si="356"/>
        <v>23236.6</v>
      </c>
      <c r="O1661" s="81">
        <v>209129.4</v>
      </c>
      <c r="P1661" s="72">
        <v>108920</v>
      </c>
      <c r="Q1661" s="256">
        <f t="shared" si="354"/>
        <v>23962.400000000001</v>
      </c>
      <c r="R1661" s="256">
        <f t="shared" si="355"/>
        <v>132882.4</v>
      </c>
      <c r="S1661" s="296"/>
      <c r="T1661" s="3">
        <v>92</v>
      </c>
      <c r="U1661" s="294"/>
    </row>
    <row r="1662" spans="1:21" ht="66" customHeight="1" x14ac:dyDescent="0.35">
      <c r="A1662" s="218" t="s">
        <v>3947</v>
      </c>
      <c r="B1662" s="3">
        <v>1567</v>
      </c>
      <c r="C1662" s="68">
        <v>10118650</v>
      </c>
      <c r="D1662" s="24" t="s">
        <v>1145</v>
      </c>
      <c r="E1662" s="18" t="s">
        <v>2237</v>
      </c>
      <c r="F1662" s="91">
        <v>11</v>
      </c>
      <c r="G1662" s="3" t="s">
        <v>0</v>
      </c>
      <c r="H1662" s="54" t="s">
        <v>523</v>
      </c>
      <c r="I1662" s="4" t="s">
        <v>989</v>
      </c>
      <c r="J1662" s="25" t="s">
        <v>1235</v>
      </c>
      <c r="K1662" s="23" t="s">
        <v>1145</v>
      </c>
      <c r="L1662" s="6" t="s">
        <v>871</v>
      </c>
      <c r="M1662" s="81">
        <f t="shared" si="352"/>
        <v>264316.25</v>
      </c>
      <c r="N1662" s="81">
        <f t="shared" si="356"/>
        <v>24028.75</v>
      </c>
      <c r="O1662" s="81">
        <v>264316.25</v>
      </c>
      <c r="P1662" s="72">
        <v>137660</v>
      </c>
      <c r="Q1662" s="256">
        <f t="shared" si="354"/>
        <v>30285.200000000001</v>
      </c>
      <c r="R1662" s="256">
        <f t="shared" si="355"/>
        <v>167945.2</v>
      </c>
      <c r="S1662" s="296"/>
      <c r="T1662" s="3">
        <v>92</v>
      </c>
      <c r="U1662" s="294"/>
    </row>
    <row r="1663" spans="1:21" ht="30.65" customHeight="1" x14ac:dyDescent="0.35">
      <c r="A1663" s="218" t="s">
        <v>3948</v>
      </c>
      <c r="B1663" s="3">
        <v>1568</v>
      </c>
      <c r="C1663" s="68">
        <v>10120439</v>
      </c>
      <c r="D1663" s="24" t="s">
        <v>1146</v>
      </c>
      <c r="E1663" s="18" t="s">
        <v>2237</v>
      </c>
      <c r="F1663" s="91">
        <v>3</v>
      </c>
      <c r="G1663" s="3" t="s">
        <v>0</v>
      </c>
      <c r="H1663" s="54" t="s">
        <v>520</v>
      </c>
      <c r="I1663" s="4" t="s">
        <v>989</v>
      </c>
      <c r="J1663" s="25" t="s">
        <v>1236</v>
      </c>
      <c r="K1663" s="23" t="s">
        <v>1146</v>
      </c>
      <c r="L1663" s="6" t="s">
        <v>871</v>
      </c>
      <c r="M1663" s="81">
        <f t="shared" si="352"/>
        <v>74230.240000000005</v>
      </c>
      <c r="N1663" s="81">
        <f t="shared" si="356"/>
        <v>24743.41</v>
      </c>
      <c r="O1663" s="81">
        <v>74230.240000000005</v>
      </c>
      <c r="P1663" s="72">
        <v>37940</v>
      </c>
      <c r="Q1663" s="256">
        <f t="shared" si="354"/>
        <v>8346.7999999999993</v>
      </c>
      <c r="R1663" s="256">
        <f t="shared" si="355"/>
        <v>46286.8</v>
      </c>
      <c r="S1663" s="296"/>
      <c r="T1663" s="3">
        <v>92</v>
      </c>
      <c r="U1663" s="294"/>
    </row>
    <row r="1664" spans="1:21" ht="82.5" customHeight="1" x14ac:dyDescent="0.35">
      <c r="A1664" s="218" t="s">
        <v>3949</v>
      </c>
      <c r="B1664" s="3">
        <v>1569</v>
      </c>
      <c r="C1664" s="68">
        <v>10118633</v>
      </c>
      <c r="D1664" s="24" t="s">
        <v>1147</v>
      </c>
      <c r="E1664" s="18" t="s">
        <v>2237</v>
      </c>
      <c r="F1664" s="91">
        <v>13</v>
      </c>
      <c r="G1664" s="3" t="s">
        <v>0</v>
      </c>
      <c r="H1664" s="54" t="s">
        <v>520</v>
      </c>
      <c r="I1664" s="4" t="s">
        <v>989</v>
      </c>
      <c r="J1664" s="25" t="s">
        <v>1237</v>
      </c>
      <c r="K1664" s="23" t="s">
        <v>1147</v>
      </c>
      <c r="L1664" s="6" t="s">
        <v>871</v>
      </c>
      <c r="M1664" s="81">
        <f t="shared" si="352"/>
        <v>348656.44</v>
      </c>
      <c r="N1664" s="81">
        <f t="shared" si="356"/>
        <v>26819.73</v>
      </c>
      <c r="O1664" s="81">
        <v>348656.44</v>
      </c>
      <c r="P1664" s="72">
        <v>178190</v>
      </c>
      <c r="Q1664" s="256">
        <f t="shared" si="354"/>
        <v>39201.800000000003</v>
      </c>
      <c r="R1664" s="256">
        <f t="shared" si="355"/>
        <v>217391.8</v>
      </c>
      <c r="S1664" s="296"/>
      <c r="T1664" s="3">
        <v>92</v>
      </c>
      <c r="U1664" s="294"/>
    </row>
    <row r="1665" spans="1:21" ht="75.75" customHeight="1" x14ac:dyDescent="0.35">
      <c r="A1665" s="218" t="s">
        <v>3950</v>
      </c>
      <c r="B1665" s="3">
        <v>1570</v>
      </c>
      <c r="C1665" s="68">
        <v>10120468</v>
      </c>
      <c r="D1665" s="24" t="s">
        <v>1148</v>
      </c>
      <c r="E1665" s="18" t="s">
        <v>2237</v>
      </c>
      <c r="F1665" s="91">
        <v>14</v>
      </c>
      <c r="G1665" s="3" t="s">
        <v>0</v>
      </c>
      <c r="H1665" s="54" t="s">
        <v>520</v>
      </c>
      <c r="I1665" s="4" t="s">
        <v>989</v>
      </c>
      <c r="J1665" s="25" t="s">
        <v>1238</v>
      </c>
      <c r="K1665" s="23" t="s">
        <v>1148</v>
      </c>
      <c r="L1665" s="6" t="s">
        <v>871</v>
      </c>
      <c r="M1665" s="81">
        <f t="shared" si="352"/>
        <v>422198.7</v>
      </c>
      <c r="N1665" s="81">
        <f t="shared" si="356"/>
        <v>30157.05</v>
      </c>
      <c r="O1665" s="81">
        <v>422198.7</v>
      </c>
      <c r="P1665" s="72">
        <v>215780</v>
      </c>
      <c r="Q1665" s="256">
        <f t="shared" si="354"/>
        <v>47471.6</v>
      </c>
      <c r="R1665" s="256">
        <f t="shared" si="355"/>
        <v>263251.59999999998</v>
      </c>
      <c r="S1665" s="296"/>
      <c r="T1665" s="3">
        <v>92</v>
      </c>
      <c r="U1665" s="294"/>
    </row>
    <row r="1666" spans="1:21" ht="15" customHeight="1" x14ac:dyDescent="0.35">
      <c r="A1666" s="218" t="s">
        <v>3951</v>
      </c>
      <c r="B1666" s="3">
        <v>1571</v>
      </c>
      <c r="C1666" s="68">
        <v>10118651</v>
      </c>
      <c r="D1666" s="24" t="s">
        <v>1151</v>
      </c>
      <c r="E1666" s="18" t="s">
        <v>2237</v>
      </c>
      <c r="F1666" s="91">
        <v>8</v>
      </c>
      <c r="G1666" s="3" t="s">
        <v>0</v>
      </c>
      <c r="H1666" s="54" t="s">
        <v>523</v>
      </c>
      <c r="I1666" s="4" t="s">
        <v>989</v>
      </c>
      <c r="J1666" s="25" t="s">
        <v>2285</v>
      </c>
      <c r="K1666" s="23" t="s">
        <v>1151</v>
      </c>
      <c r="L1666" s="6" t="s">
        <v>871</v>
      </c>
      <c r="M1666" s="81">
        <f t="shared" si="352"/>
        <v>253692</v>
      </c>
      <c r="N1666" s="81">
        <f t="shared" si="356"/>
        <v>31711.5</v>
      </c>
      <c r="O1666" s="81">
        <v>253692</v>
      </c>
      <c r="P1666" s="72">
        <v>132120</v>
      </c>
      <c r="Q1666" s="256">
        <f t="shared" si="354"/>
        <v>29066.400000000001</v>
      </c>
      <c r="R1666" s="256">
        <f t="shared" si="355"/>
        <v>161186.4</v>
      </c>
      <c r="S1666" s="296"/>
      <c r="T1666" s="3">
        <v>92</v>
      </c>
      <c r="U1666" s="294"/>
    </row>
    <row r="1667" spans="1:21" ht="15" customHeight="1" x14ac:dyDescent="0.35">
      <c r="A1667" s="218" t="s">
        <v>3952</v>
      </c>
      <c r="B1667" s="3">
        <v>1572</v>
      </c>
      <c r="C1667" s="68">
        <v>10117114</v>
      </c>
      <c r="D1667" s="24" t="s">
        <v>1152</v>
      </c>
      <c r="E1667" s="18" t="s">
        <v>2237</v>
      </c>
      <c r="F1667" s="91">
        <v>15</v>
      </c>
      <c r="G1667" s="3" t="s">
        <v>0</v>
      </c>
      <c r="H1667" s="54" t="s">
        <v>523</v>
      </c>
      <c r="I1667" s="4" t="s">
        <v>989</v>
      </c>
      <c r="J1667" s="25" t="s">
        <v>2285</v>
      </c>
      <c r="K1667" s="23" t="s">
        <v>1152</v>
      </c>
      <c r="L1667" s="6" t="s">
        <v>871</v>
      </c>
      <c r="M1667" s="81">
        <f t="shared" si="352"/>
        <v>387258.75</v>
      </c>
      <c r="N1667" s="81">
        <f t="shared" si="356"/>
        <v>25817.25</v>
      </c>
      <c r="O1667" s="81">
        <v>387258.75</v>
      </c>
      <c r="P1667" s="72">
        <v>201690</v>
      </c>
      <c r="Q1667" s="256">
        <f t="shared" si="354"/>
        <v>44371.8</v>
      </c>
      <c r="R1667" s="256">
        <f t="shared" si="355"/>
        <v>246061.8</v>
      </c>
      <c r="S1667" s="296"/>
      <c r="T1667" s="3">
        <v>92</v>
      </c>
      <c r="U1667" s="294"/>
    </row>
    <row r="1668" spans="1:21" ht="15.75" customHeight="1" x14ac:dyDescent="0.35">
      <c r="A1668" s="218" t="s">
        <v>3953</v>
      </c>
      <c r="B1668" s="3">
        <v>1573</v>
      </c>
      <c r="C1668" s="68">
        <v>10117115</v>
      </c>
      <c r="D1668" s="24" t="s">
        <v>1153</v>
      </c>
      <c r="E1668" s="18" t="s">
        <v>2237</v>
      </c>
      <c r="F1668" s="91">
        <v>9</v>
      </c>
      <c r="G1668" s="3" t="s">
        <v>0</v>
      </c>
      <c r="H1668" s="54" t="s">
        <v>523</v>
      </c>
      <c r="I1668" s="4" t="s">
        <v>989</v>
      </c>
      <c r="J1668" s="25" t="s">
        <v>2285</v>
      </c>
      <c r="K1668" s="23" t="s">
        <v>1153</v>
      </c>
      <c r="L1668" s="6" t="s">
        <v>871</v>
      </c>
      <c r="M1668" s="84">
        <f t="shared" si="352"/>
        <v>247623.75</v>
      </c>
      <c r="N1668" s="84">
        <f t="shared" si="356"/>
        <v>27513.75</v>
      </c>
      <c r="O1668" s="81">
        <v>247623.75</v>
      </c>
      <c r="P1668" s="72">
        <v>128960</v>
      </c>
      <c r="Q1668" s="256">
        <f t="shared" ref="Q1668:Q1670" si="357">R1668-P1668</f>
        <v>28371.200000000001</v>
      </c>
      <c r="R1668" s="256">
        <f t="shared" si="355"/>
        <v>157331.20000000001</v>
      </c>
      <c r="S1668" s="296"/>
      <c r="T1668" s="3">
        <v>92</v>
      </c>
      <c r="U1668" s="294"/>
    </row>
    <row r="1669" spans="1:21" ht="19.5" customHeight="1" x14ac:dyDescent="0.35">
      <c r="A1669" s="218" t="s">
        <v>3954</v>
      </c>
      <c r="B1669" s="3">
        <v>1574</v>
      </c>
      <c r="C1669" s="68">
        <v>10120419</v>
      </c>
      <c r="D1669" s="24" t="s">
        <v>1154</v>
      </c>
      <c r="E1669" s="18" t="s">
        <v>2237</v>
      </c>
      <c r="F1669" s="91">
        <v>11</v>
      </c>
      <c r="G1669" s="3" t="s">
        <v>0</v>
      </c>
      <c r="H1669" s="54" t="s">
        <v>523</v>
      </c>
      <c r="I1669" s="4" t="s">
        <v>989</v>
      </c>
      <c r="J1669" s="25" t="s">
        <v>2285</v>
      </c>
      <c r="K1669" s="23" t="s">
        <v>1154</v>
      </c>
      <c r="L1669" s="6" t="s">
        <v>871</v>
      </c>
      <c r="M1669" s="81">
        <f t="shared" si="352"/>
        <v>306718.5</v>
      </c>
      <c r="N1669" s="81">
        <f t="shared" si="356"/>
        <v>27883.5</v>
      </c>
      <c r="O1669" s="81">
        <v>306718.5</v>
      </c>
      <c r="P1669" s="72">
        <v>159740</v>
      </c>
      <c r="Q1669" s="256">
        <f t="shared" si="357"/>
        <v>35142.800000000003</v>
      </c>
      <c r="R1669" s="256">
        <f t="shared" si="355"/>
        <v>194882.8</v>
      </c>
      <c r="S1669" s="296"/>
      <c r="T1669" s="3">
        <v>92</v>
      </c>
      <c r="U1669" s="294"/>
    </row>
    <row r="1670" spans="1:21" ht="15" customHeight="1" x14ac:dyDescent="0.35">
      <c r="A1670" s="218" t="s">
        <v>3955</v>
      </c>
      <c r="B1670" s="3">
        <v>1575</v>
      </c>
      <c r="C1670" s="68">
        <v>10118635</v>
      </c>
      <c r="D1670" s="24" t="s">
        <v>1155</v>
      </c>
      <c r="E1670" s="18" t="s">
        <v>2237</v>
      </c>
      <c r="F1670" s="91">
        <v>8</v>
      </c>
      <c r="G1670" s="3" t="s">
        <v>0</v>
      </c>
      <c r="H1670" s="54" t="s">
        <v>523</v>
      </c>
      <c r="I1670" s="4" t="s">
        <v>989</v>
      </c>
      <c r="J1670" s="25" t="s">
        <v>2285</v>
      </c>
      <c r="K1670" s="23" t="s">
        <v>1155</v>
      </c>
      <c r="L1670" s="6" t="s">
        <v>871</v>
      </c>
      <c r="M1670" s="81">
        <f t="shared" si="352"/>
        <v>235683.04</v>
      </c>
      <c r="N1670" s="81">
        <f t="shared" si="356"/>
        <v>29460.38</v>
      </c>
      <c r="O1670" s="81">
        <v>235683.04</v>
      </c>
      <c r="P1670" s="72">
        <v>220440</v>
      </c>
      <c r="Q1670" s="256">
        <f t="shared" si="357"/>
        <v>48496.800000000003</v>
      </c>
      <c r="R1670" s="256">
        <f t="shared" si="355"/>
        <v>268936.8</v>
      </c>
      <c r="S1670" s="297"/>
      <c r="T1670" s="3">
        <v>92</v>
      </c>
      <c r="U1670" s="294"/>
    </row>
    <row r="1671" spans="1:21" ht="15" customHeight="1" x14ac:dyDescent="0.35">
      <c r="A1671" s="218"/>
      <c r="B1671" s="94"/>
      <c r="C1671" s="44"/>
      <c r="D1671" s="18"/>
      <c r="E1671" s="18"/>
      <c r="F1671" s="12"/>
      <c r="G1671" s="3"/>
      <c r="H1671" s="5"/>
      <c r="I1671" s="49"/>
      <c r="J1671" s="4"/>
      <c r="K1671" s="5"/>
      <c r="L1671" s="5"/>
      <c r="M1671" s="72"/>
      <c r="N1671" s="72"/>
      <c r="O1671" s="82">
        <f>SUM(O1604:O1670)</f>
        <v>13945474.880000001</v>
      </c>
      <c r="P1671" s="276">
        <f t="shared" ref="P1671:Q1671" si="358">SUM(P1604:P1670)</f>
        <v>7544680</v>
      </c>
      <c r="Q1671" s="282">
        <f t="shared" si="358"/>
        <v>1659829.6</v>
      </c>
      <c r="R1671" s="282">
        <f>SUM(R1604:R1670)</f>
        <v>9204509.5999999996</v>
      </c>
      <c r="S1671" s="286">
        <f>R1671/100*10</f>
        <v>920450.96</v>
      </c>
      <c r="T1671" s="104">
        <v>92</v>
      </c>
      <c r="U1671" s="295"/>
    </row>
    <row r="1672" spans="1:21" ht="15" customHeight="1" x14ac:dyDescent="0.35">
      <c r="A1672" s="218" t="s">
        <v>3957</v>
      </c>
      <c r="B1672" s="3">
        <v>1576</v>
      </c>
      <c r="C1672" s="44">
        <v>10109957</v>
      </c>
      <c r="D1672" s="18" t="s">
        <v>1512</v>
      </c>
      <c r="E1672" s="19" t="s">
        <v>2219</v>
      </c>
      <c r="F1672" s="12">
        <v>4</v>
      </c>
      <c r="G1672" s="3" t="s">
        <v>0</v>
      </c>
      <c r="H1672" s="39">
        <v>41375</v>
      </c>
      <c r="I1672" s="27" t="s">
        <v>984</v>
      </c>
      <c r="J1672" s="4" t="s">
        <v>1962</v>
      </c>
      <c r="K1672" s="4" t="s">
        <v>988</v>
      </c>
      <c r="L1672" s="29" t="s">
        <v>977</v>
      </c>
      <c r="M1672" s="78">
        <f t="shared" si="352"/>
        <v>15241.8</v>
      </c>
      <c r="N1672" s="78">
        <f t="shared" ref="N1672:N1678" si="359">O1672/F1672</f>
        <v>3810.45</v>
      </c>
      <c r="O1672" s="78">
        <v>15241.8</v>
      </c>
      <c r="P1672" s="72">
        <v>31130</v>
      </c>
      <c r="Q1672" s="256">
        <f t="shared" ref="Q1672:Q1678" si="360">R1672-P1672</f>
        <v>6848.6</v>
      </c>
      <c r="R1672" s="256">
        <f t="shared" ref="R1672:R1678" si="361">P1672*1.22</f>
        <v>37978.6</v>
      </c>
      <c r="S1672" s="289"/>
      <c r="T1672" s="3">
        <v>93</v>
      </c>
      <c r="U1672" s="294" t="s">
        <v>2351</v>
      </c>
    </row>
    <row r="1673" spans="1:21" ht="15" customHeight="1" x14ac:dyDescent="0.35">
      <c r="A1673" s="218" t="s">
        <v>3958</v>
      </c>
      <c r="B1673" s="3">
        <v>1577</v>
      </c>
      <c r="C1673" s="44">
        <v>10105151</v>
      </c>
      <c r="D1673" s="18" t="s">
        <v>1526</v>
      </c>
      <c r="E1673" s="19" t="s">
        <v>2219</v>
      </c>
      <c r="F1673" s="12">
        <v>1</v>
      </c>
      <c r="G1673" s="3" t="s">
        <v>0</v>
      </c>
      <c r="H1673" s="39">
        <v>41484</v>
      </c>
      <c r="I1673" s="27" t="s">
        <v>984</v>
      </c>
      <c r="J1673" s="4" t="s">
        <v>1962</v>
      </c>
      <c r="K1673" s="4" t="s">
        <v>988</v>
      </c>
      <c r="L1673" s="29" t="s">
        <v>977</v>
      </c>
      <c r="M1673" s="78">
        <f t="shared" si="352"/>
        <v>1510.35</v>
      </c>
      <c r="N1673" s="78">
        <f t="shared" si="359"/>
        <v>1510.35</v>
      </c>
      <c r="O1673" s="78">
        <v>1510.35</v>
      </c>
      <c r="P1673" s="72">
        <v>2990</v>
      </c>
      <c r="Q1673" s="256">
        <f t="shared" si="360"/>
        <v>657.8</v>
      </c>
      <c r="R1673" s="256">
        <f t="shared" si="361"/>
        <v>3647.8</v>
      </c>
      <c r="S1673" s="296"/>
      <c r="T1673" s="3">
        <v>93</v>
      </c>
      <c r="U1673" s="294"/>
    </row>
    <row r="1674" spans="1:21" ht="15" customHeight="1" x14ac:dyDescent="0.35">
      <c r="A1674" s="218" t="s">
        <v>3959</v>
      </c>
      <c r="B1674" s="3">
        <v>1578</v>
      </c>
      <c r="C1674" s="44">
        <v>10093762</v>
      </c>
      <c r="D1674" s="18" t="s">
        <v>1770</v>
      </c>
      <c r="E1674" s="18" t="s">
        <v>2027</v>
      </c>
      <c r="F1674" s="12">
        <v>8</v>
      </c>
      <c r="G1674" s="3" t="s">
        <v>0</v>
      </c>
      <c r="H1674" s="39">
        <v>41249</v>
      </c>
      <c r="I1674" s="27" t="s">
        <v>984</v>
      </c>
      <c r="J1674" s="4" t="s">
        <v>1962</v>
      </c>
      <c r="K1674" s="4" t="s">
        <v>988</v>
      </c>
      <c r="L1674" s="29" t="s">
        <v>977</v>
      </c>
      <c r="M1674" s="78">
        <f t="shared" si="352"/>
        <v>14796.42</v>
      </c>
      <c r="N1674" s="78">
        <f t="shared" si="359"/>
        <v>1849.55</v>
      </c>
      <c r="O1674" s="78">
        <v>14796.42</v>
      </c>
      <c r="P1674" s="72">
        <v>30810</v>
      </c>
      <c r="Q1674" s="256">
        <f t="shared" si="360"/>
        <v>6778.2</v>
      </c>
      <c r="R1674" s="256">
        <f t="shared" si="361"/>
        <v>37588.199999999997</v>
      </c>
      <c r="S1674" s="296"/>
      <c r="T1674" s="3">
        <v>93</v>
      </c>
      <c r="U1674" s="294"/>
    </row>
    <row r="1675" spans="1:21" ht="15" customHeight="1" x14ac:dyDescent="0.35">
      <c r="A1675" s="218" t="s">
        <v>3960</v>
      </c>
      <c r="B1675" s="3">
        <v>1579</v>
      </c>
      <c r="C1675" s="65">
        <v>102002209</v>
      </c>
      <c r="D1675" s="8" t="s">
        <v>1429</v>
      </c>
      <c r="E1675" s="19" t="s">
        <v>2219</v>
      </c>
      <c r="F1675" s="92">
        <f>2-1</f>
        <v>1</v>
      </c>
      <c r="G1675" s="3" t="s">
        <v>0</v>
      </c>
      <c r="H1675" s="40">
        <v>41548</v>
      </c>
      <c r="I1675" s="27" t="s">
        <v>984</v>
      </c>
      <c r="J1675" s="4" t="s">
        <v>1962</v>
      </c>
      <c r="K1675" s="4" t="s">
        <v>988</v>
      </c>
      <c r="L1675" s="29" t="s">
        <v>977</v>
      </c>
      <c r="M1675" s="78">
        <f t="shared" si="352"/>
        <v>62492.800000000003</v>
      </c>
      <c r="N1675" s="78">
        <f t="shared" si="359"/>
        <v>62492.800000000003</v>
      </c>
      <c r="O1675" s="78">
        <f>124985.6/2*1</f>
        <v>62492.800000000003</v>
      </c>
      <c r="P1675" s="72">
        <v>124260</v>
      </c>
      <c r="Q1675" s="256">
        <f t="shared" si="360"/>
        <v>27337.200000000001</v>
      </c>
      <c r="R1675" s="256">
        <f t="shared" si="361"/>
        <v>151597.20000000001</v>
      </c>
      <c r="S1675" s="296"/>
      <c r="T1675" s="3">
        <v>93</v>
      </c>
      <c r="U1675" s="294"/>
    </row>
    <row r="1676" spans="1:21" ht="15" customHeight="1" x14ac:dyDescent="0.35">
      <c r="A1676" s="218" t="s">
        <v>3961</v>
      </c>
      <c r="B1676" s="3">
        <v>1580</v>
      </c>
      <c r="C1676" s="65">
        <v>102002210</v>
      </c>
      <c r="D1676" s="8" t="s">
        <v>1430</v>
      </c>
      <c r="E1676" s="19" t="s">
        <v>2219</v>
      </c>
      <c r="F1676" s="92">
        <v>3</v>
      </c>
      <c r="G1676" s="3" t="s">
        <v>0</v>
      </c>
      <c r="H1676" s="40">
        <v>41548</v>
      </c>
      <c r="I1676" s="27" t="s">
        <v>984</v>
      </c>
      <c r="J1676" s="41" t="s">
        <v>1406</v>
      </c>
      <c r="K1676" s="4" t="s">
        <v>988</v>
      </c>
      <c r="L1676" s="29" t="s">
        <v>977</v>
      </c>
      <c r="M1676" s="78">
        <f t="shared" si="352"/>
        <v>1652420.58</v>
      </c>
      <c r="N1676" s="78">
        <f t="shared" si="359"/>
        <v>550806.86</v>
      </c>
      <c r="O1676" s="78">
        <v>1652420.58</v>
      </c>
      <c r="P1676" s="72">
        <v>3285560</v>
      </c>
      <c r="Q1676" s="256">
        <f t="shared" si="360"/>
        <v>722823.2</v>
      </c>
      <c r="R1676" s="256">
        <f t="shared" si="361"/>
        <v>4008383.2</v>
      </c>
      <c r="S1676" s="296"/>
      <c r="T1676" s="3">
        <v>93</v>
      </c>
      <c r="U1676" s="294"/>
    </row>
    <row r="1677" spans="1:21" ht="15" customHeight="1" x14ac:dyDescent="0.35">
      <c r="A1677" s="218" t="s">
        <v>3962</v>
      </c>
      <c r="B1677" s="3">
        <v>1581</v>
      </c>
      <c r="C1677" s="65">
        <v>10144657</v>
      </c>
      <c r="D1677" s="8" t="s">
        <v>1450</v>
      </c>
      <c r="E1677" s="19" t="s">
        <v>2219</v>
      </c>
      <c r="F1677" s="92">
        <v>2</v>
      </c>
      <c r="G1677" s="3" t="s">
        <v>0</v>
      </c>
      <c r="H1677" s="40">
        <v>41365</v>
      </c>
      <c r="I1677" s="27" t="s">
        <v>984</v>
      </c>
      <c r="J1677" s="4" t="s">
        <v>1962</v>
      </c>
      <c r="K1677" s="4" t="s">
        <v>988</v>
      </c>
      <c r="L1677" s="29" t="s">
        <v>977</v>
      </c>
      <c r="M1677" s="78">
        <f t="shared" si="352"/>
        <v>1322.24</v>
      </c>
      <c r="N1677" s="78">
        <f t="shared" si="359"/>
        <v>661.12</v>
      </c>
      <c r="O1677" s="78">
        <v>1322.24</v>
      </c>
      <c r="P1677" s="72">
        <v>2700</v>
      </c>
      <c r="Q1677" s="256">
        <f t="shared" si="360"/>
        <v>594</v>
      </c>
      <c r="R1677" s="256">
        <f t="shared" si="361"/>
        <v>3294</v>
      </c>
      <c r="S1677" s="296"/>
      <c r="T1677" s="3">
        <v>93</v>
      </c>
      <c r="U1677" s="294"/>
    </row>
    <row r="1678" spans="1:21" ht="15" customHeight="1" x14ac:dyDescent="0.35">
      <c r="A1678" s="218" t="s">
        <v>3963</v>
      </c>
      <c r="B1678" s="3">
        <v>1582</v>
      </c>
      <c r="C1678" s="65">
        <v>10144656</v>
      </c>
      <c r="D1678" s="8" t="s">
        <v>1451</v>
      </c>
      <c r="E1678" s="19" t="s">
        <v>2219</v>
      </c>
      <c r="F1678" s="92">
        <v>15</v>
      </c>
      <c r="G1678" s="3" t="s">
        <v>0</v>
      </c>
      <c r="H1678" s="40">
        <v>41365</v>
      </c>
      <c r="I1678" s="27" t="s">
        <v>984</v>
      </c>
      <c r="J1678" s="4" t="s">
        <v>1962</v>
      </c>
      <c r="K1678" s="4" t="s">
        <v>988</v>
      </c>
      <c r="L1678" s="29" t="s">
        <v>977</v>
      </c>
      <c r="M1678" s="78">
        <f t="shared" ref="M1678:M1722" si="362">O1678</f>
        <v>19833.3</v>
      </c>
      <c r="N1678" s="78">
        <f t="shared" si="359"/>
        <v>1322.22</v>
      </c>
      <c r="O1678" s="78">
        <v>19833.3</v>
      </c>
      <c r="P1678" s="72">
        <v>40510</v>
      </c>
      <c r="Q1678" s="256">
        <f t="shared" si="360"/>
        <v>8912.2000000000007</v>
      </c>
      <c r="R1678" s="256">
        <f t="shared" si="361"/>
        <v>49422.2</v>
      </c>
      <c r="S1678" s="297"/>
      <c r="T1678" s="3">
        <v>93</v>
      </c>
      <c r="U1678" s="294"/>
    </row>
    <row r="1679" spans="1:21" ht="15" customHeight="1" x14ac:dyDescent="0.35">
      <c r="A1679" s="218"/>
      <c r="B1679" s="94"/>
      <c r="C1679" s="65"/>
      <c r="D1679" s="8"/>
      <c r="E1679" s="19"/>
      <c r="F1679" s="92"/>
      <c r="G1679" s="3"/>
      <c r="H1679" s="40"/>
      <c r="I1679" s="27"/>
      <c r="J1679" s="4"/>
      <c r="K1679" s="4"/>
      <c r="L1679" s="29"/>
      <c r="M1679" s="78"/>
      <c r="N1679" s="78"/>
      <c r="O1679" s="108">
        <f>SUM(O1672:O1678)</f>
        <v>1767617.49</v>
      </c>
      <c r="P1679" s="276">
        <f t="shared" ref="P1679:Q1679" si="363">SUM(P1672:P1678)</f>
        <v>3517960</v>
      </c>
      <c r="Q1679" s="282">
        <f t="shared" si="363"/>
        <v>773951.2</v>
      </c>
      <c r="R1679" s="282">
        <f>SUM(R1672:R1678)</f>
        <v>4291911.2</v>
      </c>
      <c r="S1679" s="286">
        <f>R1679/100*10</f>
        <v>429191.12</v>
      </c>
      <c r="T1679" s="104">
        <v>93</v>
      </c>
      <c r="U1679" s="295"/>
    </row>
    <row r="1680" spans="1:21" ht="52.5" customHeight="1" x14ac:dyDescent="0.35">
      <c r="A1680" s="218" t="s">
        <v>3964</v>
      </c>
      <c r="B1680" s="254">
        <f>B1678+1</f>
        <v>1583</v>
      </c>
      <c r="C1680" s="44">
        <v>10097725</v>
      </c>
      <c r="D1680" s="18" t="s">
        <v>348</v>
      </c>
      <c r="E1680" s="18" t="s">
        <v>2197</v>
      </c>
      <c r="F1680" s="12">
        <v>2</v>
      </c>
      <c r="G1680" s="3" t="s">
        <v>28</v>
      </c>
      <c r="H1680" s="49" t="s">
        <v>2195</v>
      </c>
      <c r="I1680" s="5" t="s">
        <v>999</v>
      </c>
      <c r="J1680" s="4" t="s">
        <v>1962</v>
      </c>
      <c r="K1680" s="5" t="s">
        <v>988</v>
      </c>
      <c r="L1680" s="5" t="s">
        <v>871</v>
      </c>
      <c r="M1680" s="72">
        <f t="shared" si="362"/>
        <v>171513.21</v>
      </c>
      <c r="N1680" s="72">
        <f t="shared" ref="N1680:N1708" si="364">O1680/F1680</f>
        <v>85756.61</v>
      </c>
      <c r="O1680" s="72">
        <v>171513.21</v>
      </c>
      <c r="P1680" s="72">
        <v>168140</v>
      </c>
      <c r="Q1680" s="256">
        <f t="shared" ref="Q1680:Q1708" si="365">R1680-P1680</f>
        <v>36990.800000000003</v>
      </c>
      <c r="R1680" s="256">
        <f t="shared" ref="R1680:R1708" si="366">P1680*1.22</f>
        <v>205130.8</v>
      </c>
      <c r="S1680" s="289"/>
      <c r="T1680" s="3">
        <v>94</v>
      </c>
      <c r="U1680" s="292" t="s">
        <v>2351</v>
      </c>
    </row>
    <row r="1681" spans="1:21" ht="15" customHeight="1" x14ac:dyDescent="0.35">
      <c r="A1681" s="218" t="s">
        <v>3965</v>
      </c>
      <c r="B1681" s="3">
        <v>1584</v>
      </c>
      <c r="C1681" s="44">
        <v>10102792</v>
      </c>
      <c r="D1681" s="18" t="s">
        <v>349</v>
      </c>
      <c r="E1681" s="18" t="s">
        <v>2197</v>
      </c>
      <c r="F1681" s="12">
        <v>2</v>
      </c>
      <c r="G1681" s="3" t="s">
        <v>0</v>
      </c>
      <c r="H1681" s="49" t="s">
        <v>2195</v>
      </c>
      <c r="I1681" s="5" t="s">
        <v>999</v>
      </c>
      <c r="J1681" s="4" t="s">
        <v>1962</v>
      </c>
      <c r="K1681" s="5" t="s">
        <v>988</v>
      </c>
      <c r="L1681" s="5" t="s">
        <v>871</v>
      </c>
      <c r="M1681" s="72">
        <f t="shared" si="362"/>
        <v>19960</v>
      </c>
      <c r="N1681" s="72">
        <f t="shared" si="364"/>
        <v>9980</v>
      </c>
      <c r="O1681" s="72">
        <v>19960</v>
      </c>
      <c r="P1681" s="72">
        <v>19570</v>
      </c>
      <c r="Q1681" s="256">
        <f t="shared" si="365"/>
        <v>4305.3999999999996</v>
      </c>
      <c r="R1681" s="256">
        <f t="shared" si="366"/>
        <v>23875.4</v>
      </c>
      <c r="S1681" s="296"/>
      <c r="T1681" s="3">
        <v>94</v>
      </c>
      <c r="U1681" s="294"/>
    </row>
    <row r="1682" spans="1:21" ht="15" customHeight="1" x14ac:dyDescent="0.35">
      <c r="A1682" s="218" t="s">
        <v>3966</v>
      </c>
      <c r="B1682" s="3">
        <v>1585</v>
      </c>
      <c r="C1682" s="44">
        <v>10105591</v>
      </c>
      <c r="D1682" s="18" t="s">
        <v>350</v>
      </c>
      <c r="E1682" s="18" t="s">
        <v>2197</v>
      </c>
      <c r="F1682" s="12">
        <v>2</v>
      </c>
      <c r="G1682" s="3" t="s">
        <v>0</v>
      </c>
      <c r="H1682" s="49" t="s">
        <v>2195</v>
      </c>
      <c r="I1682" s="5" t="s">
        <v>999</v>
      </c>
      <c r="J1682" s="4" t="s">
        <v>1962</v>
      </c>
      <c r="K1682" s="5" t="s">
        <v>988</v>
      </c>
      <c r="L1682" s="5" t="s">
        <v>871</v>
      </c>
      <c r="M1682" s="72">
        <f t="shared" si="362"/>
        <v>170933.4</v>
      </c>
      <c r="N1682" s="72">
        <f t="shared" si="364"/>
        <v>85466.7</v>
      </c>
      <c r="O1682" s="72">
        <v>170933.4</v>
      </c>
      <c r="P1682" s="72">
        <v>167570</v>
      </c>
      <c r="Q1682" s="256">
        <f t="shared" si="365"/>
        <v>36865.4</v>
      </c>
      <c r="R1682" s="256">
        <f t="shared" si="366"/>
        <v>204435.4</v>
      </c>
      <c r="S1682" s="296"/>
      <c r="T1682" s="3">
        <v>94</v>
      </c>
      <c r="U1682" s="294"/>
    </row>
    <row r="1683" spans="1:21" ht="15" customHeight="1" x14ac:dyDescent="0.35">
      <c r="A1683" s="218" t="s">
        <v>3967</v>
      </c>
      <c r="B1683" s="254">
        <f t="shared" ref="B1683" si="367">B1681+1</f>
        <v>1585</v>
      </c>
      <c r="C1683" s="44">
        <v>10105400</v>
      </c>
      <c r="D1683" s="18" t="s">
        <v>349</v>
      </c>
      <c r="E1683" s="18" t="s">
        <v>2197</v>
      </c>
      <c r="F1683" s="12">
        <v>3</v>
      </c>
      <c r="G1683" s="3" t="s">
        <v>0</v>
      </c>
      <c r="H1683" s="49" t="s">
        <v>2195</v>
      </c>
      <c r="I1683" s="5" t="s">
        <v>999</v>
      </c>
      <c r="J1683" s="4" t="s">
        <v>1962</v>
      </c>
      <c r="K1683" s="5" t="s">
        <v>988</v>
      </c>
      <c r="L1683" s="5" t="s">
        <v>871</v>
      </c>
      <c r="M1683" s="72">
        <f t="shared" si="362"/>
        <v>29640.6</v>
      </c>
      <c r="N1683" s="72">
        <f t="shared" si="364"/>
        <v>9880.2000000000007</v>
      </c>
      <c r="O1683" s="72">
        <v>29640.6</v>
      </c>
      <c r="P1683" s="72">
        <v>29060</v>
      </c>
      <c r="Q1683" s="256">
        <f t="shared" si="365"/>
        <v>6393.2</v>
      </c>
      <c r="R1683" s="256">
        <f t="shared" si="366"/>
        <v>35453.199999999997</v>
      </c>
      <c r="S1683" s="296"/>
      <c r="T1683" s="3">
        <v>94</v>
      </c>
      <c r="U1683" s="294"/>
    </row>
    <row r="1684" spans="1:21" ht="15" customHeight="1" x14ac:dyDescent="0.35">
      <c r="A1684" s="218" t="s">
        <v>3968</v>
      </c>
      <c r="B1684" s="3">
        <v>1586</v>
      </c>
      <c r="C1684" s="44">
        <v>10097772</v>
      </c>
      <c r="D1684" s="18" t="s">
        <v>374</v>
      </c>
      <c r="E1684" s="18" t="s">
        <v>2197</v>
      </c>
      <c r="F1684" s="12">
        <v>4</v>
      </c>
      <c r="G1684" s="3" t="s">
        <v>28</v>
      </c>
      <c r="H1684" s="49" t="s">
        <v>2195</v>
      </c>
      <c r="I1684" s="5" t="s">
        <v>999</v>
      </c>
      <c r="J1684" s="4" t="s">
        <v>1962</v>
      </c>
      <c r="K1684" s="5" t="s">
        <v>988</v>
      </c>
      <c r="L1684" s="5" t="s">
        <v>871</v>
      </c>
      <c r="M1684" s="72">
        <f t="shared" si="362"/>
        <v>268864.43</v>
      </c>
      <c r="N1684" s="72">
        <f t="shared" si="364"/>
        <v>67216.11</v>
      </c>
      <c r="O1684" s="72">
        <v>268864.43</v>
      </c>
      <c r="P1684" s="72">
        <v>263570</v>
      </c>
      <c r="Q1684" s="256">
        <f t="shared" si="365"/>
        <v>57985.4</v>
      </c>
      <c r="R1684" s="256">
        <f t="shared" si="366"/>
        <v>321555.40000000002</v>
      </c>
      <c r="S1684" s="296"/>
      <c r="T1684" s="3">
        <v>94</v>
      </c>
      <c r="U1684" s="294"/>
    </row>
    <row r="1685" spans="1:21" ht="15" customHeight="1" x14ac:dyDescent="0.35">
      <c r="A1685" s="218" t="s">
        <v>3969</v>
      </c>
      <c r="B1685" s="3">
        <v>1587</v>
      </c>
      <c r="C1685" s="44">
        <v>10097781</v>
      </c>
      <c r="D1685" s="18" t="s">
        <v>375</v>
      </c>
      <c r="E1685" s="18" t="s">
        <v>2197</v>
      </c>
      <c r="F1685" s="12">
        <v>4</v>
      </c>
      <c r="G1685" s="3" t="s">
        <v>0</v>
      </c>
      <c r="H1685" s="49" t="s">
        <v>2195</v>
      </c>
      <c r="I1685" s="5" t="s">
        <v>999</v>
      </c>
      <c r="J1685" s="4" t="s">
        <v>1962</v>
      </c>
      <c r="K1685" s="5" t="s">
        <v>988</v>
      </c>
      <c r="L1685" s="5" t="s">
        <v>871</v>
      </c>
      <c r="M1685" s="72">
        <f t="shared" si="362"/>
        <v>236164.05</v>
      </c>
      <c r="N1685" s="72">
        <f t="shared" si="364"/>
        <v>59041.01</v>
      </c>
      <c r="O1685" s="72">
        <v>236164.05</v>
      </c>
      <c r="P1685" s="72">
        <v>231520</v>
      </c>
      <c r="Q1685" s="256">
        <f t="shared" si="365"/>
        <v>50934.400000000001</v>
      </c>
      <c r="R1685" s="256">
        <f t="shared" si="366"/>
        <v>282454.40000000002</v>
      </c>
      <c r="S1685" s="296"/>
      <c r="T1685" s="3">
        <v>94</v>
      </c>
      <c r="U1685" s="294"/>
    </row>
    <row r="1686" spans="1:21" ht="45" customHeight="1" x14ac:dyDescent="0.35">
      <c r="A1686" s="218" t="s">
        <v>3970</v>
      </c>
      <c r="B1686" s="254">
        <f t="shared" ref="B1686" si="368">B1684+1</f>
        <v>1587</v>
      </c>
      <c r="C1686" s="44">
        <v>10131166</v>
      </c>
      <c r="D1686" s="18" t="s">
        <v>382</v>
      </c>
      <c r="E1686" s="18" t="s">
        <v>2197</v>
      </c>
      <c r="F1686" s="12">
        <v>5</v>
      </c>
      <c r="G1686" s="3" t="s">
        <v>0</v>
      </c>
      <c r="H1686" s="49" t="s">
        <v>2195</v>
      </c>
      <c r="I1686" s="5" t="s">
        <v>999</v>
      </c>
      <c r="J1686" s="4" t="s">
        <v>1962</v>
      </c>
      <c r="K1686" s="5" t="s">
        <v>988</v>
      </c>
      <c r="L1686" s="5" t="s">
        <v>871</v>
      </c>
      <c r="M1686" s="72">
        <f t="shared" si="362"/>
        <v>25192.799999999999</v>
      </c>
      <c r="N1686" s="72">
        <f t="shared" si="364"/>
        <v>5038.5600000000004</v>
      </c>
      <c r="O1686" s="72">
        <v>25192.799999999999</v>
      </c>
      <c r="P1686" s="72">
        <v>24700</v>
      </c>
      <c r="Q1686" s="256">
        <f t="shared" si="365"/>
        <v>5434</v>
      </c>
      <c r="R1686" s="256">
        <f t="shared" si="366"/>
        <v>30134</v>
      </c>
      <c r="S1686" s="296"/>
      <c r="T1686" s="3">
        <v>94</v>
      </c>
      <c r="U1686" s="294"/>
    </row>
    <row r="1687" spans="1:21" ht="15" customHeight="1" x14ac:dyDescent="0.35">
      <c r="A1687" s="218" t="s">
        <v>3971</v>
      </c>
      <c r="B1687" s="3">
        <v>1588</v>
      </c>
      <c r="C1687" s="44">
        <v>10131165</v>
      </c>
      <c r="D1687" s="18" t="s">
        <v>388</v>
      </c>
      <c r="E1687" s="18" t="s">
        <v>2197</v>
      </c>
      <c r="F1687" s="12">
        <v>6</v>
      </c>
      <c r="G1687" s="3" t="s">
        <v>0</v>
      </c>
      <c r="H1687" s="49" t="s">
        <v>2195</v>
      </c>
      <c r="I1687" s="5" t="s">
        <v>999</v>
      </c>
      <c r="J1687" s="4" t="s">
        <v>1962</v>
      </c>
      <c r="K1687" s="5" t="s">
        <v>988</v>
      </c>
      <c r="L1687" s="5" t="s">
        <v>871</v>
      </c>
      <c r="M1687" s="72">
        <f t="shared" si="362"/>
        <v>16947.48</v>
      </c>
      <c r="N1687" s="72">
        <f t="shared" si="364"/>
        <v>2824.58</v>
      </c>
      <c r="O1687" s="72">
        <v>16947.48</v>
      </c>
      <c r="P1687" s="72">
        <v>16610</v>
      </c>
      <c r="Q1687" s="256">
        <f t="shared" si="365"/>
        <v>3654.2</v>
      </c>
      <c r="R1687" s="256">
        <f t="shared" si="366"/>
        <v>20264.2</v>
      </c>
      <c r="S1687" s="296"/>
      <c r="T1687" s="3">
        <v>94</v>
      </c>
      <c r="U1687" s="294"/>
    </row>
    <row r="1688" spans="1:21" ht="15" customHeight="1" x14ac:dyDescent="0.35">
      <c r="A1688" s="218" t="s">
        <v>3972</v>
      </c>
      <c r="B1688" s="3">
        <v>1589</v>
      </c>
      <c r="C1688" s="44">
        <v>10117971</v>
      </c>
      <c r="D1688" s="18" t="s">
        <v>395</v>
      </c>
      <c r="E1688" s="18" t="s">
        <v>2197</v>
      </c>
      <c r="F1688" s="12">
        <v>7</v>
      </c>
      <c r="G1688" s="3" t="s">
        <v>0</v>
      </c>
      <c r="H1688" s="49" t="s">
        <v>2195</v>
      </c>
      <c r="I1688" s="5" t="s">
        <v>999</v>
      </c>
      <c r="J1688" s="4" t="s">
        <v>1962</v>
      </c>
      <c r="K1688" s="5" t="s">
        <v>988</v>
      </c>
      <c r="L1688" s="5" t="s">
        <v>871</v>
      </c>
      <c r="M1688" s="72">
        <f t="shared" si="362"/>
        <v>7997.5</v>
      </c>
      <c r="N1688" s="72">
        <f t="shared" si="364"/>
        <v>1142.5</v>
      </c>
      <c r="O1688" s="72">
        <v>7997.5</v>
      </c>
      <c r="P1688" s="72">
        <v>7840</v>
      </c>
      <c r="Q1688" s="256">
        <f t="shared" si="365"/>
        <v>1724.8</v>
      </c>
      <c r="R1688" s="256">
        <f t="shared" si="366"/>
        <v>9564.7999999999993</v>
      </c>
      <c r="S1688" s="296"/>
      <c r="T1688" s="3">
        <v>94</v>
      </c>
      <c r="U1688" s="294"/>
    </row>
    <row r="1689" spans="1:21" ht="15" customHeight="1" x14ac:dyDescent="0.35">
      <c r="A1689" s="218" t="s">
        <v>3973</v>
      </c>
      <c r="B1689" s="254">
        <f t="shared" ref="B1689" si="369">B1687+1</f>
        <v>1589</v>
      </c>
      <c r="C1689" s="44">
        <v>10097780</v>
      </c>
      <c r="D1689" s="18" t="s">
        <v>396</v>
      </c>
      <c r="E1689" s="18" t="s">
        <v>2197</v>
      </c>
      <c r="F1689" s="12">
        <v>8</v>
      </c>
      <c r="G1689" s="3" t="s">
        <v>0</v>
      </c>
      <c r="H1689" s="49" t="s">
        <v>2195</v>
      </c>
      <c r="I1689" s="5" t="s">
        <v>999</v>
      </c>
      <c r="J1689" s="4" t="s">
        <v>1962</v>
      </c>
      <c r="K1689" s="5" t="s">
        <v>988</v>
      </c>
      <c r="L1689" s="5" t="s">
        <v>871</v>
      </c>
      <c r="M1689" s="72">
        <f t="shared" si="362"/>
        <v>215908.7</v>
      </c>
      <c r="N1689" s="72">
        <f t="shared" si="364"/>
        <v>26988.59</v>
      </c>
      <c r="O1689" s="72">
        <v>215908.7</v>
      </c>
      <c r="P1689" s="72">
        <v>211660</v>
      </c>
      <c r="Q1689" s="256">
        <f t="shared" si="365"/>
        <v>46565.2</v>
      </c>
      <c r="R1689" s="256">
        <f t="shared" si="366"/>
        <v>258225.2</v>
      </c>
      <c r="S1689" s="296"/>
      <c r="T1689" s="3">
        <v>94</v>
      </c>
      <c r="U1689" s="294"/>
    </row>
    <row r="1690" spans="1:21" ht="45" customHeight="1" x14ac:dyDescent="0.35">
      <c r="A1690" s="218" t="s">
        <v>3974</v>
      </c>
      <c r="B1690" s="3">
        <v>1590</v>
      </c>
      <c r="C1690" s="44">
        <v>10117972</v>
      </c>
      <c r="D1690" s="18" t="s">
        <v>398</v>
      </c>
      <c r="E1690" s="18" t="s">
        <v>2197</v>
      </c>
      <c r="F1690" s="12">
        <v>10</v>
      </c>
      <c r="G1690" s="3" t="s">
        <v>0</v>
      </c>
      <c r="H1690" s="49" t="s">
        <v>2195</v>
      </c>
      <c r="I1690" s="5" t="s">
        <v>999</v>
      </c>
      <c r="J1690" s="4" t="s">
        <v>1962</v>
      </c>
      <c r="K1690" s="5" t="s">
        <v>988</v>
      </c>
      <c r="L1690" s="5" t="s">
        <v>871</v>
      </c>
      <c r="M1690" s="72">
        <f t="shared" si="362"/>
        <v>11992</v>
      </c>
      <c r="N1690" s="72">
        <f t="shared" si="364"/>
        <v>1199.2</v>
      </c>
      <c r="O1690" s="72">
        <v>11992</v>
      </c>
      <c r="P1690" s="72">
        <v>11760</v>
      </c>
      <c r="Q1690" s="256">
        <f t="shared" si="365"/>
        <v>2587.1999999999998</v>
      </c>
      <c r="R1690" s="256">
        <f t="shared" si="366"/>
        <v>14347.2</v>
      </c>
      <c r="S1690" s="296"/>
      <c r="T1690" s="3">
        <v>94</v>
      </c>
      <c r="U1690" s="294"/>
    </row>
    <row r="1691" spans="1:21" ht="45" customHeight="1" x14ac:dyDescent="0.35">
      <c r="A1691" s="218" t="s">
        <v>3975</v>
      </c>
      <c r="B1691" s="3">
        <v>1591</v>
      </c>
      <c r="C1691" s="44">
        <v>10117973</v>
      </c>
      <c r="D1691" s="18" t="s">
        <v>399</v>
      </c>
      <c r="E1691" s="18" t="s">
        <v>2197</v>
      </c>
      <c r="F1691" s="12">
        <v>10</v>
      </c>
      <c r="G1691" s="3" t="s">
        <v>0</v>
      </c>
      <c r="H1691" s="49" t="s">
        <v>2195</v>
      </c>
      <c r="I1691" s="5" t="s">
        <v>999</v>
      </c>
      <c r="J1691" s="4" t="s">
        <v>1962</v>
      </c>
      <c r="K1691" s="5" t="s">
        <v>988</v>
      </c>
      <c r="L1691" s="5" t="s">
        <v>871</v>
      </c>
      <c r="M1691" s="72">
        <f t="shared" si="362"/>
        <v>4292</v>
      </c>
      <c r="N1691" s="72">
        <f t="shared" si="364"/>
        <v>429.2</v>
      </c>
      <c r="O1691" s="72">
        <v>4292</v>
      </c>
      <c r="P1691" s="72">
        <v>4210</v>
      </c>
      <c r="Q1691" s="256">
        <f t="shared" si="365"/>
        <v>926.2</v>
      </c>
      <c r="R1691" s="256">
        <f t="shared" si="366"/>
        <v>5136.2</v>
      </c>
      <c r="S1691" s="296"/>
      <c r="T1691" s="3">
        <v>94</v>
      </c>
      <c r="U1691" s="294"/>
    </row>
    <row r="1692" spans="1:21" ht="15" customHeight="1" x14ac:dyDescent="0.35">
      <c r="A1692" s="218" t="s">
        <v>3976</v>
      </c>
      <c r="B1692" s="254">
        <f t="shared" ref="B1692" si="370">B1690+1</f>
        <v>1591</v>
      </c>
      <c r="C1692" s="44">
        <v>10094520</v>
      </c>
      <c r="D1692" s="18" t="s">
        <v>401</v>
      </c>
      <c r="E1692" s="18" t="s">
        <v>2197</v>
      </c>
      <c r="F1692" s="12">
        <v>12</v>
      </c>
      <c r="G1692" s="3" t="s">
        <v>28</v>
      </c>
      <c r="H1692" s="49" t="s">
        <v>2195</v>
      </c>
      <c r="I1692" s="5" t="s">
        <v>999</v>
      </c>
      <c r="J1692" s="4" t="s">
        <v>1962</v>
      </c>
      <c r="K1692" s="5" t="s">
        <v>988</v>
      </c>
      <c r="L1692" s="5" t="s">
        <v>871</v>
      </c>
      <c r="M1692" s="72">
        <f t="shared" si="362"/>
        <v>616146.93999999994</v>
      </c>
      <c r="N1692" s="72">
        <f t="shared" si="364"/>
        <v>51345.58</v>
      </c>
      <c r="O1692" s="72">
        <v>616146.93999999994</v>
      </c>
      <c r="P1692" s="72">
        <v>604020</v>
      </c>
      <c r="Q1692" s="256">
        <f t="shared" si="365"/>
        <v>132884.4</v>
      </c>
      <c r="R1692" s="256">
        <f t="shared" si="366"/>
        <v>736904.4</v>
      </c>
      <c r="S1692" s="296"/>
      <c r="T1692" s="3">
        <v>94</v>
      </c>
      <c r="U1692" s="294"/>
    </row>
    <row r="1693" spans="1:21" ht="15" customHeight="1" x14ac:dyDescent="0.35">
      <c r="A1693" s="218" t="s">
        <v>3977</v>
      </c>
      <c r="B1693" s="3">
        <v>1592</v>
      </c>
      <c r="C1693" s="44">
        <v>10094229</v>
      </c>
      <c r="D1693" s="18" t="s">
        <v>402</v>
      </c>
      <c r="E1693" s="18" t="s">
        <v>2197</v>
      </c>
      <c r="F1693" s="12">
        <v>14</v>
      </c>
      <c r="G1693" s="3" t="s">
        <v>0</v>
      </c>
      <c r="H1693" s="49" t="s">
        <v>2195</v>
      </c>
      <c r="I1693" s="5" t="s">
        <v>999</v>
      </c>
      <c r="J1693" s="4" t="s">
        <v>1962</v>
      </c>
      <c r="K1693" s="5" t="s">
        <v>988</v>
      </c>
      <c r="L1693" s="5" t="s">
        <v>871</v>
      </c>
      <c r="M1693" s="72">
        <f t="shared" si="362"/>
        <v>103764.4</v>
      </c>
      <c r="N1693" s="72">
        <f t="shared" si="364"/>
        <v>7411.74</v>
      </c>
      <c r="O1693" s="72">
        <v>103764.4</v>
      </c>
      <c r="P1693" s="72">
        <v>101720</v>
      </c>
      <c r="Q1693" s="256">
        <f t="shared" si="365"/>
        <v>22378.400000000001</v>
      </c>
      <c r="R1693" s="256">
        <f t="shared" si="366"/>
        <v>124098.4</v>
      </c>
      <c r="S1693" s="296"/>
      <c r="T1693" s="3">
        <v>94</v>
      </c>
      <c r="U1693" s="294"/>
    </row>
    <row r="1694" spans="1:21" ht="15" customHeight="1" x14ac:dyDescent="0.35">
      <c r="A1694" s="218" t="s">
        <v>3978</v>
      </c>
      <c r="B1694" s="3">
        <v>1593</v>
      </c>
      <c r="C1694" s="44">
        <v>10094458</v>
      </c>
      <c r="D1694" s="18" t="s">
        <v>405</v>
      </c>
      <c r="E1694" s="18" t="s">
        <v>2197</v>
      </c>
      <c r="F1694" s="12">
        <v>26</v>
      </c>
      <c r="G1694" s="3" t="s">
        <v>0</v>
      </c>
      <c r="H1694" s="49" t="s">
        <v>2195</v>
      </c>
      <c r="I1694" s="5" t="s">
        <v>999</v>
      </c>
      <c r="J1694" s="4" t="s">
        <v>1962</v>
      </c>
      <c r="K1694" s="5" t="s">
        <v>988</v>
      </c>
      <c r="L1694" s="5" t="s">
        <v>871</v>
      </c>
      <c r="M1694" s="72">
        <f t="shared" si="362"/>
        <v>192308</v>
      </c>
      <c r="N1694" s="72">
        <f t="shared" si="364"/>
        <v>7396.46</v>
      </c>
      <c r="O1694" s="72">
        <v>192308</v>
      </c>
      <c r="P1694" s="72">
        <v>188520</v>
      </c>
      <c r="Q1694" s="256">
        <f t="shared" si="365"/>
        <v>41474.400000000001</v>
      </c>
      <c r="R1694" s="256">
        <f t="shared" si="366"/>
        <v>229994.4</v>
      </c>
      <c r="S1694" s="296"/>
      <c r="T1694" s="3">
        <v>94</v>
      </c>
      <c r="U1694" s="294"/>
    </row>
    <row r="1695" spans="1:21" ht="15" customHeight="1" x14ac:dyDescent="0.35">
      <c r="A1695" s="218" t="s">
        <v>3979</v>
      </c>
      <c r="B1695" s="254">
        <f t="shared" ref="B1695" si="371">B1693+1</f>
        <v>1593</v>
      </c>
      <c r="C1695" s="44">
        <v>10094057</v>
      </c>
      <c r="D1695" s="18" t="s">
        <v>406</v>
      </c>
      <c r="E1695" s="18" t="s">
        <v>2197</v>
      </c>
      <c r="F1695" s="12">
        <v>88</v>
      </c>
      <c r="G1695" s="3" t="s">
        <v>0</v>
      </c>
      <c r="H1695" s="49" t="s">
        <v>2195</v>
      </c>
      <c r="I1695" s="5" t="s">
        <v>999</v>
      </c>
      <c r="J1695" s="4" t="s">
        <v>1962</v>
      </c>
      <c r="K1695" s="5" t="s">
        <v>988</v>
      </c>
      <c r="L1695" s="5" t="s">
        <v>871</v>
      </c>
      <c r="M1695" s="72">
        <f t="shared" si="362"/>
        <v>284217.17</v>
      </c>
      <c r="N1695" s="72">
        <f t="shared" si="364"/>
        <v>3229.74</v>
      </c>
      <c r="O1695" s="72">
        <v>284217.17</v>
      </c>
      <c r="P1695" s="72">
        <v>278620</v>
      </c>
      <c r="Q1695" s="256">
        <f t="shared" si="365"/>
        <v>61296.4</v>
      </c>
      <c r="R1695" s="256">
        <f t="shared" si="366"/>
        <v>339916.4</v>
      </c>
      <c r="S1695" s="296"/>
      <c r="T1695" s="3">
        <v>94</v>
      </c>
      <c r="U1695" s="294"/>
    </row>
    <row r="1696" spans="1:21" ht="15" customHeight="1" x14ac:dyDescent="0.35">
      <c r="A1696" s="218" t="s">
        <v>3980</v>
      </c>
      <c r="B1696" s="3">
        <v>1594</v>
      </c>
      <c r="C1696" s="44">
        <v>10144877</v>
      </c>
      <c r="D1696" s="18" t="s">
        <v>407</v>
      </c>
      <c r="E1696" s="18" t="s">
        <v>2197</v>
      </c>
      <c r="F1696" s="12">
        <v>88</v>
      </c>
      <c r="G1696" s="3" t="s">
        <v>0</v>
      </c>
      <c r="H1696" s="49" t="s">
        <v>2195</v>
      </c>
      <c r="I1696" s="5" t="s">
        <v>999</v>
      </c>
      <c r="J1696" s="4" t="s">
        <v>1962</v>
      </c>
      <c r="K1696" s="5" t="s">
        <v>988</v>
      </c>
      <c r="L1696" s="5" t="s">
        <v>871</v>
      </c>
      <c r="M1696" s="72">
        <f t="shared" si="362"/>
        <v>841280</v>
      </c>
      <c r="N1696" s="72">
        <f t="shared" si="364"/>
        <v>9560</v>
      </c>
      <c r="O1696" s="72">
        <v>841280</v>
      </c>
      <c r="P1696" s="72">
        <v>824720</v>
      </c>
      <c r="Q1696" s="256">
        <f t="shared" si="365"/>
        <v>181438.4</v>
      </c>
      <c r="R1696" s="256">
        <f t="shared" si="366"/>
        <v>1006158.4</v>
      </c>
      <c r="S1696" s="296"/>
      <c r="T1696" s="3">
        <v>94</v>
      </c>
      <c r="U1696" s="294"/>
    </row>
    <row r="1697" spans="1:21" ht="15" customHeight="1" x14ac:dyDescent="0.35">
      <c r="A1697" s="218" t="s">
        <v>3981</v>
      </c>
      <c r="B1697" s="3">
        <v>1595</v>
      </c>
      <c r="C1697" s="44">
        <v>10116883</v>
      </c>
      <c r="D1697" s="18" t="s">
        <v>408</v>
      </c>
      <c r="E1697" s="18" t="s">
        <v>2197</v>
      </c>
      <c r="F1697" s="12">
        <v>212</v>
      </c>
      <c r="G1697" s="3" t="s">
        <v>0</v>
      </c>
      <c r="H1697" s="49" t="s">
        <v>2195</v>
      </c>
      <c r="I1697" s="5" t="s">
        <v>999</v>
      </c>
      <c r="J1697" s="4" t="s">
        <v>1962</v>
      </c>
      <c r="K1697" s="5" t="s">
        <v>988</v>
      </c>
      <c r="L1697" s="5" t="s">
        <v>871</v>
      </c>
      <c r="M1697" s="72">
        <f t="shared" si="362"/>
        <v>642699.19999999995</v>
      </c>
      <c r="N1697" s="72">
        <f t="shared" si="364"/>
        <v>3031.6</v>
      </c>
      <c r="O1697" s="72">
        <v>642699.19999999995</v>
      </c>
      <c r="P1697" s="72">
        <v>630050</v>
      </c>
      <c r="Q1697" s="256">
        <f t="shared" si="365"/>
        <v>138611</v>
      </c>
      <c r="R1697" s="256">
        <f t="shared" si="366"/>
        <v>768661</v>
      </c>
      <c r="S1697" s="296"/>
      <c r="T1697" s="3">
        <v>94</v>
      </c>
      <c r="U1697" s="294"/>
    </row>
    <row r="1698" spans="1:21" ht="15" customHeight="1" x14ac:dyDescent="0.35">
      <c r="A1698" s="218" t="s">
        <v>3982</v>
      </c>
      <c r="B1698" s="254">
        <f t="shared" ref="B1698" si="372">B1696+1</f>
        <v>1595</v>
      </c>
      <c r="C1698" s="44">
        <v>10144896</v>
      </c>
      <c r="D1698" s="18" t="s">
        <v>409</v>
      </c>
      <c r="E1698" s="18" t="s">
        <v>2197</v>
      </c>
      <c r="F1698" s="12">
        <v>300</v>
      </c>
      <c r="G1698" s="3" t="s">
        <v>0</v>
      </c>
      <c r="H1698" s="49" t="s">
        <v>2195</v>
      </c>
      <c r="I1698" s="5" t="s">
        <v>999</v>
      </c>
      <c r="J1698" s="4" t="s">
        <v>1962</v>
      </c>
      <c r="K1698" s="5" t="s">
        <v>988</v>
      </c>
      <c r="L1698" s="5" t="s">
        <v>871</v>
      </c>
      <c r="M1698" s="72">
        <f t="shared" si="362"/>
        <v>1332000</v>
      </c>
      <c r="N1698" s="72">
        <f t="shared" si="364"/>
        <v>4440</v>
      </c>
      <c r="O1698" s="72">
        <v>1332000</v>
      </c>
      <c r="P1698" s="72">
        <v>1305780</v>
      </c>
      <c r="Q1698" s="256">
        <f t="shared" si="365"/>
        <v>287271.59999999998</v>
      </c>
      <c r="R1698" s="256">
        <f t="shared" si="366"/>
        <v>1593051.6</v>
      </c>
      <c r="S1698" s="296"/>
      <c r="T1698" s="3">
        <v>94</v>
      </c>
      <c r="U1698" s="294"/>
    </row>
    <row r="1699" spans="1:21" ht="15" customHeight="1" x14ac:dyDescent="0.35">
      <c r="A1699" s="218" t="s">
        <v>3983</v>
      </c>
      <c r="B1699" s="3">
        <v>1596</v>
      </c>
      <c r="C1699" s="44">
        <v>10134084</v>
      </c>
      <c r="D1699" s="18" t="s">
        <v>298</v>
      </c>
      <c r="E1699" s="19" t="s">
        <v>2233</v>
      </c>
      <c r="F1699" s="12">
        <v>56</v>
      </c>
      <c r="G1699" s="3" t="s">
        <v>0</v>
      </c>
      <c r="H1699" s="49" t="s">
        <v>2195</v>
      </c>
      <c r="I1699" s="5" t="s">
        <v>1003</v>
      </c>
      <c r="J1699" s="4" t="s">
        <v>1962</v>
      </c>
      <c r="K1699" s="5" t="s">
        <v>988</v>
      </c>
      <c r="L1699" s="29" t="s">
        <v>2143</v>
      </c>
      <c r="M1699" s="78">
        <f t="shared" si="362"/>
        <v>426160</v>
      </c>
      <c r="N1699" s="78">
        <f t="shared" si="364"/>
        <v>7610</v>
      </c>
      <c r="O1699" s="78">
        <v>426160</v>
      </c>
      <c r="P1699" s="72">
        <v>417770</v>
      </c>
      <c r="Q1699" s="256">
        <f t="shared" si="365"/>
        <v>91909.4</v>
      </c>
      <c r="R1699" s="256">
        <f t="shared" si="366"/>
        <v>509679.4</v>
      </c>
      <c r="S1699" s="296"/>
      <c r="T1699" s="3">
        <v>94</v>
      </c>
      <c r="U1699" s="294"/>
    </row>
    <row r="1700" spans="1:21" ht="15" customHeight="1" x14ac:dyDescent="0.35">
      <c r="A1700" s="218" t="s">
        <v>3984</v>
      </c>
      <c r="B1700" s="3">
        <v>1597</v>
      </c>
      <c r="C1700" s="45">
        <v>10134117</v>
      </c>
      <c r="D1700" s="2" t="s">
        <v>698</v>
      </c>
      <c r="E1700" s="18" t="s">
        <v>2253</v>
      </c>
      <c r="F1700" s="7">
        <v>72</v>
      </c>
      <c r="G1700" s="3" t="s">
        <v>0</v>
      </c>
      <c r="H1700" s="5">
        <v>42004</v>
      </c>
      <c r="I1700" s="30" t="s">
        <v>1003</v>
      </c>
      <c r="J1700" s="4" t="s">
        <v>1962</v>
      </c>
      <c r="K1700" s="14" t="s">
        <v>720</v>
      </c>
      <c r="L1700" s="3" t="s">
        <v>871</v>
      </c>
      <c r="M1700" s="72">
        <f t="shared" si="362"/>
        <v>754560</v>
      </c>
      <c r="N1700" s="72">
        <f t="shared" si="364"/>
        <v>10480</v>
      </c>
      <c r="O1700" s="72">
        <v>754560</v>
      </c>
      <c r="P1700" s="72">
        <v>549730</v>
      </c>
      <c r="Q1700" s="256">
        <f t="shared" si="365"/>
        <v>120940.6</v>
      </c>
      <c r="R1700" s="256">
        <f t="shared" si="366"/>
        <v>670670.6</v>
      </c>
      <c r="S1700" s="296"/>
      <c r="T1700" s="3">
        <v>94</v>
      </c>
      <c r="U1700" s="294"/>
    </row>
    <row r="1701" spans="1:21" ht="15" customHeight="1" x14ac:dyDescent="0.35">
      <c r="A1701" s="218" t="s">
        <v>3985</v>
      </c>
      <c r="B1701" s="254">
        <f t="shared" ref="B1701" si="373">B1699+1</f>
        <v>1597</v>
      </c>
      <c r="C1701" s="45">
        <v>10120795</v>
      </c>
      <c r="D1701" s="2" t="s">
        <v>706</v>
      </c>
      <c r="E1701" s="18" t="s">
        <v>2253</v>
      </c>
      <c r="F1701" s="7">
        <v>18</v>
      </c>
      <c r="G1701" s="3" t="s">
        <v>0</v>
      </c>
      <c r="H1701" s="5">
        <v>42004</v>
      </c>
      <c r="I1701" s="30" t="s">
        <v>1003</v>
      </c>
      <c r="J1701" s="4" t="s">
        <v>1962</v>
      </c>
      <c r="K1701" s="14" t="s">
        <v>721</v>
      </c>
      <c r="L1701" s="3" t="s">
        <v>871</v>
      </c>
      <c r="M1701" s="72">
        <f t="shared" si="362"/>
        <v>154260</v>
      </c>
      <c r="N1701" s="72">
        <f t="shared" si="364"/>
        <v>8570</v>
      </c>
      <c r="O1701" s="72">
        <v>154260</v>
      </c>
      <c r="P1701" s="72">
        <v>112390</v>
      </c>
      <c r="Q1701" s="256">
        <f t="shared" si="365"/>
        <v>24725.8</v>
      </c>
      <c r="R1701" s="256">
        <f t="shared" si="366"/>
        <v>137115.79999999999</v>
      </c>
      <c r="S1701" s="296"/>
      <c r="T1701" s="3">
        <v>94</v>
      </c>
      <c r="U1701" s="294"/>
    </row>
    <row r="1702" spans="1:21" ht="15" customHeight="1" x14ac:dyDescent="0.35">
      <c r="A1702" s="218" t="s">
        <v>3986</v>
      </c>
      <c r="B1702" s="3">
        <v>1598</v>
      </c>
      <c r="C1702" s="45">
        <v>10012790</v>
      </c>
      <c r="D1702" s="2" t="s">
        <v>707</v>
      </c>
      <c r="E1702" s="18" t="s">
        <v>2253</v>
      </c>
      <c r="F1702" s="7">
        <v>3</v>
      </c>
      <c r="G1702" s="3" t="s">
        <v>0</v>
      </c>
      <c r="H1702" s="5">
        <v>42004</v>
      </c>
      <c r="I1702" s="30" t="s">
        <v>1003</v>
      </c>
      <c r="J1702" s="4" t="s">
        <v>1962</v>
      </c>
      <c r="K1702" s="14" t="s">
        <v>722</v>
      </c>
      <c r="L1702" s="3" t="s">
        <v>871</v>
      </c>
      <c r="M1702" s="72">
        <f t="shared" si="362"/>
        <v>25710</v>
      </c>
      <c r="N1702" s="72">
        <f t="shared" si="364"/>
        <v>8570</v>
      </c>
      <c r="O1702" s="72">
        <v>25710</v>
      </c>
      <c r="P1702" s="72">
        <v>18730</v>
      </c>
      <c r="Q1702" s="256">
        <f t="shared" si="365"/>
        <v>4120.6000000000004</v>
      </c>
      <c r="R1702" s="256">
        <f t="shared" si="366"/>
        <v>22850.6</v>
      </c>
      <c r="S1702" s="296"/>
      <c r="T1702" s="3">
        <v>94</v>
      </c>
      <c r="U1702" s="294"/>
    </row>
    <row r="1703" spans="1:21" ht="47.25" customHeight="1" x14ac:dyDescent="0.35">
      <c r="A1703" s="218" t="s">
        <v>3987</v>
      </c>
      <c r="B1703" s="3">
        <v>1599</v>
      </c>
      <c r="C1703" s="45">
        <v>10057328</v>
      </c>
      <c r="D1703" s="2" t="s">
        <v>699</v>
      </c>
      <c r="E1703" s="18" t="s">
        <v>2236</v>
      </c>
      <c r="F1703" s="12">
        <v>1</v>
      </c>
      <c r="G1703" s="3" t="s">
        <v>0</v>
      </c>
      <c r="H1703" s="5">
        <v>42004</v>
      </c>
      <c r="I1703" s="30" t="s">
        <v>1003</v>
      </c>
      <c r="J1703" s="4" t="s">
        <v>1962</v>
      </c>
      <c r="K1703" s="14" t="s">
        <v>813</v>
      </c>
      <c r="L1703" s="3" t="s">
        <v>871</v>
      </c>
      <c r="M1703" s="72">
        <f t="shared" si="362"/>
        <v>1341</v>
      </c>
      <c r="N1703" s="72">
        <f t="shared" si="364"/>
        <v>1341</v>
      </c>
      <c r="O1703" s="72">
        <v>1341</v>
      </c>
      <c r="P1703" s="72">
        <v>980</v>
      </c>
      <c r="Q1703" s="256">
        <f t="shared" si="365"/>
        <v>215.6</v>
      </c>
      <c r="R1703" s="256">
        <f t="shared" si="366"/>
        <v>1195.5999999999999</v>
      </c>
      <c r="S1703" s="296"/>
      <c r="T1703" s="3">
        <v>94</v>
      </c>
      <c r="U1703" s="294"/>
    </row>
    <row r="1704" spans="1:21" ht="52.5" customHeight="1" x14ac:dyDescent="0.35">
      <c r="A1704" s="218" t="s">
        <v>3988</v>
      </c>
      <c r="B1704" s="254">
        <f t="shared" ref="B1704" si="374">B1702+1</f>
        <v>1599</v>
      </c>
      <c r="C1704" s="45">
        <v>102002204</v>
      </c>
      <c r="D1704" s="15" t="s">
        <v>700</v>
      </c>
      <c r="E1704" s="18" t="s">
        <v>2236</v>
      </c>
      <c r="F1704" s="12">
        <v>1</v>
      </c>
      <c r="G1704" s="3" t="s">
        <v>0</v>
      </c>
      <c r="H1704" s="5">
        <v>42004</v>
      </c>
      <c r="I1704" s="30" t="s">
        <v>1003</v>
      </c>
      <c r="J1704" s="4" t="s">
        <v>1962</v>
      </c>
      <c r="K1704" s="14" t="s">
        <v>814</v>
      </c>
      <c r="L1704" s="3" t="s">
        <v>871</v>
      </c>
      <c r="M1704" s="72">
        <f t="shared" si="362"/>
        <v>104831</v>
      </c>
      <c r="N1704" s="72">
        <f t="shared" si="364"/>
        <v>104831</v>
      </c>
      <c r="O1704" s="72">
        <v>104831</v>
      </c>
      <c r="P1704" s="72">
        <v>76370</v>
      </c>
      <c r="Q1704" s="256">
        <f t="shared" si="365"/>
        <v>16801.400000000001</v>
      </c>
      <c r="R1704" s="256">
        <f t="shared" si="366"/>
        <v>93171.4</v>
      </c>
      <c r="S1704" s="296"/>
      <c r="T1704" s="3">
        <v>94</v>
      </c>
      <c r="U1704" s="294"/>
    </row>
    <row r="1705" spans="1:21" ht="15" customHeight="1" x14ac:dyDescent="0.35">
      <c r="A1705" s="218" t="s">
        <v>3989</v>
      </c>
      <c r="B1705" s="3">
        <v>1600</v>
      </c>
      <c r="C1705" s="58">
        <v>102002204</v>
      </c>
      <c r="D1705" s="21" t="s">
        <v>884</v>
      </c>
      <c r="E1705" s="18" t="s">
        <v>2201</v>
      </c>
      <c r="F1705" s="7">
        <v>1</v>
      </c>
      <c r="G1705" s="3" t="s">
        <v>0</v>
      </c>
      <c r="H1705" s="33">
        <v>42004</v>
      </c>
      <c r="I1705" s="4" t="s">
        <v>999</v>
      </c>
      <c r="J1705" s="4" t="s">
        <v>1962</v>
      </c>
      <c r="K1705" s="4" t="s">
        <v>988</v>
      </c>
      <c r="L1705" s="5" t="s">
        <v>871</v>
      </c>
      <c r="M1705" s="72">
        <f t="shared" si="362"/>
        <v>104831</v>
      </c>
      <c r="N1705" s="72">
        <f t="shared" si="364"/>
        <v>104831</v>
      </c>
      <c r="O1705" s="72">
        <v>104831</v>
      </c>
      <c r="P1705" s="72">
        <v>76370</v>
      </c>
      <c r="Q1705" s="256">
        <f t="shared" si="365"/>
        <v>16801.400000000001</v>
      </c>
      <c r="R1705" s="256">
        <f t="shared" si="366"/>
        <v>93171.4</v>
      </c>
      <c r="S1705" s="296"/>
      <c r="T1705" s="3">
        <v>94</v>
      </c>
      <c r="U1705" s="294"/>
    </row>
    <row r="1706" spans="1:21" ht="15" customHeight="1" x14ac:dyDescent="0.35">
      <c r="A1706" s="218" t="s">
        <v>3990</v>
      </c>
      <c r="B1706" s="3">
        <v>1601</v>
      </c>
      <c r="C1706" s="58">
        <v>10099180</v>
      </c>
      <c r="D1706" s="21" t="s">
        <v>974</v>
      </c>
      <c r="E1706" s="18" t="s">
        <v>2197</v>
      </c>
      <c r="F1706" s="22">
        <v>88</v>
      </c>
      <c r="G1706" s="3" t="s">
        <v>0</v>
      </c>
      <c r="H1706" s="50" t="s">
        <v>2195</v>
      </c>
      <c r="I1706" s="4" t="s">
        <v>999</v>
      </c>
      <c r="J1706" s="4" t="s">
        <v>1962</v>
      </c>
      <c r="K1706" s="4" t="s">
        <v>988</v>
      </c>
      <c r="L1706" s="5" t="s">
        <v>871</v>
      </c>
      <c r="M1706" s="72">
        <f t="shared" si="362"/>
        <v>1316107.6299999999</v>
      </c>
      <c r="N1706" s="72">
        <f t="shared" si="364"/>
        <v>14955.77</v>
      </c>
      <c r="O1706" s="72">
        <v>1316107.6299999999</v>
      </c>
      <c r="P1706" s="72">
        <v>1290200</v>
      </c>
      <c r="Q1706" s="256">
        <f t="shared" si="365"/>
        <v>283844</v>
      </c>
      <c r="R1706" s="256">
        <f t="shared" si="366"/>
        <v>1574044</v>
      </c>
      <c r="S1706" s="296"/>
      <c r="T1706" s="3">
        <v>94</v>
      </c>
      <c r="U1706" s="294"/>
    </row>
    <row r="1707" spans="1:21" ht="15" customHeight="1" x14ac:dyDescent="0.35">
      <c r="A1707" s="218" t="s">
        <v>3991</v>
      </c>
      <c r="B1707" s="254">
        <f t="shared" ref="B1707" si="375">B1705+1</f>
        <v>1601</v>
      </c>
      <c r="C1707" s="58">
        <v>10132591</v>
      </c>
      <c r="D1707" s="21" t="s">
        <v>975</v>
      </c>
      <c r="E1707" s="18" t="s">
        <v>2197</v>
      </c>
      <c r="F1707" s="22">
        <v>176</v>
      </c>
      <c r="G1707" s="3" t="s">
        <v>0</v>
      </c>
      <c r="H1707" s="50" t="s">
        <v>2195</v>
      </c>
      <c r="I1707" s="4" t="s">
        <v>999</v>
      </c>
      <c r="J1707" s="4" t="s">
        <v>1962</v>
      </c>
      <c r="K1707" s="4" t="s">
        <v>988</v>
      </c>
      <c r="L1707" s="5" t="s">
        <v>871</v>
      </c>
      <c r="M1707" s="72">
        <f t="shared" si="362"/>
        <v>1580369.12</v>
      </c>
      <c r="N1707" s="72">
        <f t="shared" si="364"/>
        <v>8979.3700000000008</v>
      </c>
      <c r="O1707" s="72">
        <v>1580369.12</v>
      </c>
      <c r="P1707" s="72">
        <v>1549270</v>
      </c>
      <c r="Q1707" s="256">
        <f t="shared" si="365"/>
        <v>340839.4</v>
      </c>
      <c r="R1707" s="256">
        <f t="shared" si="366"/>
        <v>1890109.4</v>
      </c>
      <c r="S1707" s="296"/>
      <c r="T1707" s="3">
        <v>94</v>
      </c>
      <c r="U1707" s="294"/>
    </row>
    <row r="1708" spans="1:21" ht="15" customHeight="1" x14ac:dyDescent="0.35">
      <c r="A1708" s="218" t="s">
        <v>3992</v>
      </c>
      <c r="B1708" s="3">
        <v>1602</v>
      </c>
      <c r="C1708" s="58">
        <v>10129244</v>
      </c>
      <c r="D1708" s="21" t="s">
        <v>976</v>
      </c>
      <c r="E1708" s="18" t="s">
        <v>2197</v>
      </c>
      <c r="F1708" s="22">
        <v>88</v>
      </c>
      <c r="G1708" s="3" t="s">
        <v>0</v>
      </c>
      <c r="H1708" s="50" t="s">
        <v>2195</v>
      </c>
      <c r="I1708" s="4" t="s">
        <v>999</v>
      </c>
      <c r="J1708" s="4" t="s">
        <v>1962</v>
      </c>
      <c r="K1708" s="4" t="s">
        <v>988</v>
      </c>
      <c r="L1708" s="5" t="s">
        <v>871</v>
      </c>
      <c r="M1708" s="72">
        <f t="shared" si="362"/>
        <v>728640</v>
      </c>
      <c r="N1708" s="72">
        <f t="shared" si="364"/>
        <v>8280</v>
      </c>
      <c r="O1708" s="72">
        <v>728640</v>
      </c>
      <c r="P1708" s="72">
        <v>714300</v>
      </c>
      <c r="Q1708" s="256">
        <f t="shared" si="365"/>
        <v>157146</v>
      </c>
      <c r="R1708" s="256">
        <f t="shared" si="366"/>
        <v>871446</v>
      </c>
      <c r="S1708" s="297"/>
      <c r="T1708" s="3">
        <v>94</v>
      </c>
      <c r="U1708" s="294"/>
    </row>
    <row r="1709" spans="1:21" ht="15" customHeight="1" x14ac:dyDescent="0.35">
      <c r="A1709" s="218"/>
      <c r="B1709" s="94"/>
      <c r="C1709" s="44"/>
      <c r="D1709" s="18"/>
      <c r="E1709" s="18"/>
      <c r="F1709" s="12"/>
      <c r="G1709" s="3"/>
      <c r="H1709" s="5"/>
      <c r="I1709" s="5"/>
      <c r="J1709" s="4"/>
      <c r="K1709" s="49"/>
      <c r="L1709" s="6"/>
      <c r="M1709" s="81"/>
      <c r="N1709" s="81"/>
      <c r="O1709" s="109">
        <f>SUM(O1680:O1708)</f>
        <v>10388631.630000001</v>
      </c>
      <c r="P1709" s="276">
        <f t="shared" ref="P1709:Q1709" si="376">SUM(P1680:P1708)</f>
        <v>9895750</v>
      </c>
      <c r="Q1709" s="282">
        <f t="shared" si="376"/>
        <v>2177065</v>
      </c>
      <c r="R1709" s="282">
        <f>SUM(R1680:R1708)</f>
        <v>12072815</v>
      </c>
      <c r="S1709" s="286">
        <f>R1709/100*10</f>
        <v>1207281.5</v>
      </c>
      <c r="T1709" s="104">
        <v>94</v>
      </c>
      <c r="U1709" s="295"/>
    </row>
    <row r="1710" spans="1:21" ht="15" customHeight="1" x14ac:dyDescent="0.35">
      <c r="A1710" s="218" t="s">
        <v>3993</v>
      </c>
      <c r="B1710" s="3">
        <v>1603</v>
      </c>
      <c r="C1710" s="44">
        <v>10129770</v>
      </c>
      <c r="D1710" s="18" t="s">
        <v>1870</v>
      </c>
      <c r="E1710" s="18" t="s">
        <v>2027</v>
      </c>
      <c r="F1710" s="12">
        <v>17</v>
      </c>
      <c r="G1710" s="3" t="s">
        <v>0</v>
      </c>
      <c r="H1710" s="39">
        <v>42004</v>
      </c>
      <c r="I1710" s="27" t="s">
        <v>984</v>
      </c>
      <c r="J1710" s="4" t="s">
        <v>1962</v>
      </c>
      <c r="K1710" s="4" t="s">
        <v>988</v>
      </c>
      <c r="L1710" s="29" t="s">
        <v>977</v>
      </c>
      <c r="M1710" s="78">
        <f t="shared" si="362"/>
        <v>22708.77</v>
      </c>
      <c r="N1710" s="78">
        <f>O1710/F1710</f>
        <v>1335.81</v>
      </c>
      <c r="O1710" s="78">
        <v>22708.77</v>
      </c>
      <c r="P1710" s="72">
        <v>37640</v>
      </c>
      <c r="Q1710" s="256">
        <f>R1710-P1710</f>
        <v>8280.7999999999993</v>
      </c>
      <c r="R1710" s="256">
        <f>P1710*1.22</f>
        <v>45920.800000000003</v>
      </c>
      <c r="S1710" s="289"/>
      <c r="T1710" s="3">
        <v>95</v>
      </c>
      <c r="U1710" s="292" t="s">
        <v>2352</v>
      </c>
    </row>
    <row r="1711" spans="1:21" ht="15" customHeight="1" x14ac:dyDescent="0.35">
      <c r="A1711" s="218" t="s">
        <v>3994</v>
      </c>
      <c r="B1711" s="3">
        <v>1604</v>
      </c>
      <c r="C1711" s="65">
        <v>10139659</v>
      </c>
      <c r="D1711" s="8" t="s">
        <v>1440</v>
      </c>
      <c r="E1711" s="19" t="s">
        <v>2219</v>
      </c>
      <c r="F1711" s="92">
        <v>1</v>
      </c>
      <c r="G1711" s="3" t="s">
        <v>0</v>
      </c>
      <c r="H1711" s="40">
        <v>41091</v>
      </c>
      <c r="I1711" s="27" t="s">
        <v>984</v>
      </c>
      <c r="J1711" s="41" t="s">
        <v>1406</v>
      </c>
      <c r="K1711" s="4" t="s">
        <v>988</v>
      </c>
      <c r="L1711" s="29" t="s">
        <v>977</v>
      </c>
      <c r="M1711" s="78">
        <f t="shared" si="362"/>
        <v>17668</v>
      </c>
      <c r="N1711" s="78">
        <f>O1711/F1711</f>
        <v>17668</v>
      </c>
      <c r="O1711" s="78">
        <v>17668</v>
      </c>
      <c r="P1711" s="72">
        <v>28820</v>
      </c>
      <c r="Q1711" s="256">
        <f>R1711-P1711</f>
        <v>6340.4</v>
      </c>
      <c r="R1711" s="256">
        <f>P1711*1.22</f>
        <v>35160.400000000001</v>
      </c>
      <c r="S1711" s="297"/>
      <c r="T1711" s="3">
        <v>95</v>
      </c>
      <c r="U1711" s="294"/>
    </row>
    <row r="1712" spans="1:21" ht="15" customHeight="1" x14ac:dyDescent="0.35">
      <c r="A1712" s="218"/>
      <c r="B1712" s="94"/>
      <c r="C1712" s="65"/>
      <c r="D1712" s="8"/>
      <c r="E1712" s="19"/>
      <c r="F1712" s="92"/>
      <c r="G1712" s="3"/>
      <c r="H1712" s="40"/>
      <c r="I1712" s="27"/>
      <c r="J1712" s="41"/>
      <c r="K1712" s="4"/>
      <c r="L1712" s="29"/>
      <c r="M1712" s="78"/>
      <c r="N1712" s="78"/>
      <c r="O1712" s="108">
        <f>SUM(O1710:O1711)</f>
        <v>40376.769999999997</v>
      </c>
      <c r="P1712" s="276">
        <f t="shared" ref="P1712:Q1712" si="377">SUM(P1710:P1711)</f>
        <v>66460</v>
      </c>
      <c r="Q1712" s="282">
        <f t="shared" si="377"/>
        <v>14621.2</v>
      </c>
      <c r="R1712" s="282">
        <f>SUM(R1710:R1711)</f>
        <v>81081.2</v>
      </c>
      <c r="S1712" s="286">
        <f>R1712/100*10</f>
        <v>8108.12</v>
      </c>
      <c r="T1712" s="104">
        <v>95</v>
      </c>
      <c r="U1712" s="295"/>
    </row>
    <row r="1713" spans="1:21" ht="15.75" customHeight="1" x14ac:dyDescent="0.35">
      <c r="A1713" s="218" t="s">
        <v>3995</v>
      </c>
      <c r="B1713" s="3">
        <v>1605</v>
      </c>
      <c r="C1713" s="44">
        <v>10039494</v>
      </c>
      <c r="D1713" s="18" t="s">
        <v>73</v>
      </c>
      <c r="E1713" s="18" t="s">
        <v>2027</v>
      </c>
      <c r="F1713" s="12">
        <v>5</v>
      </c>
      <c r="G1713" s="3" t="s">
        <v>0</v>
      </c>
      <c r="H1713" s="49">
        <v>2014</v>
      </c>
      <c r="I1713" s="27" t="s">
        <v>984</v>
      </c>
      <c r="J1713" s="5" t="s">
        <v>1962</v>
      </c>
      <c r="K1713" s="49" t="s">
        <v>2076</v>
      </c>
      <c r="L1713" s="5" t="s">
        <v>2147</v>
      </c>
      <c r="M1713" s="72">
        <f t="shared" si="362"/>
        <v>1610.15</v>
      </c>
      <c r="N1713" s="72">
        <f>O1713/F1713</f>
        <v>322.02999999999997</v>
      </c>
      <c r="O1713" s="72">
        <v>1610.15</v>
      </c>
      <c r="P1713" s="72">
        <v>2420</v>
      </c>
      <c r="Q1713" s="256">
        <f>R1713-P1713</f>
        <v>532.4</v>
      </c>
      <c r="R1713" s="256">
        <f>P1713*1.22</f>
        <v>2952.4</v>
      </c>
      <c r="S1713" s="285"/>
      <c r="T1713" s="3">
        <v>96</v>
      </c>
      <c r="U1713" s="294" t="s">
        <v>2352</v>
      </c>
    </row>
    <row r="1714" spans="1:21" ht="15.75" customHeight="1" x14ac:dyDescent="0.35">
      <c r="A1714" s="218"/>
      <c r="B1714" s="94"/>
      <c r="C1714" s="44"/>
      <c r="D1714" s="18"/>
      <c r="E1714" s="18"/>
      <c r="F1714" s="12"/>
      <c r="G1714" s="3"/>
      <c r="H1714" s="49"/>
      <c r="I1714" s="27"/>
      <c r="J1714" s="5"/>
      <c r="K1714" s="49"/>
      <c r="L1714" s="5"/>
      <c r="M1714" s="72"/>
      <c r="N1714" s="72"/>
      <c r="O1714" s="82">
        <f>SUM(O1713:O1713)</f>
        <v>1610.15</v>
      </c>
      <c r="P1714" s="276">
        <f t="shared" ref="P1714:Q1714" si="378">P1713</f>
        <v>2420</v>
      </c>
      <c r="Q1714" s="282">
        <f t="shared" si="378"/>
        <v>532.4</v>
      </c>
      <c r="R1714" s="282">
        <f>R1713</f>
        <v>2952.4</v>
      </c>
      <c r="S1714" s="286">
        <f>R1714/100*10</f>
        <v>295.24</v>
      </c>
      <c r="T1714" s="104">
        <v>96</v>
      </c>
      <c r="U1714" s="295"/>
    </row>
    <row r="1715" spans="1:21" ht="38.25" customHeight="1" x14ac:dyDescent="0.35">
      <c r="A1715" s="218" t="s">
        <v>3996</v>
      </c>
      <c r="B1715" s="3">
        <v>1606</v>
      </c>
      <c r="C1715" s="66">
        <v>102010538</v>
      </c>
      <c r="D1715" s="24" t="s">
        <v>1359</v>
      </c>
      <c r="E1715" s="24" t="s">
        <v>2225</v>
      </c>
      <c r="F1715" s="93">
        <v>46</v>
      </c>
      <c r="G1715" s="3" t="s">
        <v>0</v>
      </c>
      <c r="H1715" s="25">
        <v>42318</v>
      </c>
      <c r="I1715" s="26" t="s">
        <v>1360</v>
      </c>
      <c r="J1715" s="43" t="s">
        <v>1361</v>
      </c>
      <c r="K1715" s="4" t="s">
        <v>988</v>
      </c>
      <c r="L1715" s="29" t="s">
        <v>977</v>
      </c>
      <c r="M1715" s="78">
        <f t="shared" si="362"/>
        <v>156490.16</v>
      </c>
      <c r="N1715" s="78">
        <f t="shared" ref="N1715:N1720" si="379">O1715/F1715</f>
        <v>3401.96</v>
      </c>
      <c r="O1715" s="78">
        <v>156490.16</v>
      </c>
      <c r="P1715" s="72">
        <v>215770</v>
      </c>
      <c r="Q1715" s="256">
        <f t="shared" ref="Q1715:Q1720" si="380">R1715-P1715</f>
        <v>47469.4</v>
      </c>
      <c r="R1715" s="256">
        <f t="shared" ref="R1715:R1720" si="381">P1715*1.22</f>
        <v>263239.40000000002</v>
      </c>
      <c r="S1715" s="289"/>
      <c r="T1715" s="3">
        <v>97</v>
      </c>
      <c r="U1715" s="292" t="s">
        <v>2353</v>
      </c>
    </row>
    <row r="1716" spans="1:21" ht="15" customHeight="1" x14ac:dyDescent="0.35">
      <c r="A1716" s="218" t="s">
        <v>3997</v>
      </c>
      <c r="B1716" s="3">
        <v>1607</v>
      </c>
      <c r="C1716" s="44">
        <v>10038545</v>
      </c>
      <c r="D1716" s="18" t="s">
        <v>1509</v>
      </c>
      <c r="E1716" s="19" t="s">
        <v>2219</v>
      </c>
      <c r="F1716" s="12">
        <v>2</v>
      </c>
      <c r="G1716" s="3" t="s">
        <v>0</v>
      </c>
      <c r="H1716" s="39">
        <v>41092</v>
      </c>
      <c r="I1716" s="27" t="s">
        <v>984</v>
      </c>
      <c r="J1716" s="4" t="s">
        <v>1962</v>
      </c>
      <c r="K1716" s="4" t="s">
        <v>988</v>
      </c>
      <c r="L1716" s="29" t="s">
        <v>977</v>
      </c>
      <c r="M1716" s="78">
        <f t="shared" si="362"/>
        <v>432.84</v>
      </c>
      <c r="N1716" s="78">
        <f t="shared" si="379"/>
        <v>216.42</v>
      </c>
      <c r="O1716" s="78">
        <v>432.84</v>
      </c>
      <c r="P1716" s="72">
        <v>670</v>
      </c>
      <c r="Q1716" s="256">
        <f t="shared" si="380"/>
        <v>147.4</v>
      </c>
      <c r="R1716" s="256">
        <f t="shared" si="381"/>
        <v>817.4</v>
      </c>
      <c r="S1716" s="296"/>
      <c r="T1716" s="3">
        <v>97</v>
      </c>
      <c r="U1716" s="294"/>
    </row>
    <row r="1717" spans="1:21" ht="45" customHeight="1" x14ac:dyDescent="0.35">
      <c r="A1717" s="218" t="s">
        <v>3998</v>
      </c>
      <c r="B1717" s="3">
        <v>1608</v>
      </c>
      <c r="C1717" s="44">
        <v>10051176</v>
      </c>
      <c r="D1717" s="18" t="s">
        <v>1511</v>
      </c>
      <c r="E1717" s="19" t="s">
        <v>2219</v>
      </c>
      <c r="F1717" s="12">
        <v>1</v>
      </c>
      <c r="G1717" s="3" t="s">
        <v>0</v>
      </c>
      <c r="H1717" s="39">
        <v>39692</v>
      </c>
      <c r="I1717" s="27" t="s">
        <v>984</v>
      </c>
      <c r="J1717" s="4" t="s">
        <v>1962</v>
      </c>
      <c r="K1717" s="4" t="s">
        <v>988</v>
      </c>
      <c r="L1717" s="29" t="s">
        <v>977</v>
      </c>
      <c r="M1717" s="78">
        <f t="shared" si="362"/>
        <v>11297.39</v>
      </c>
      <c r="N1717" s="78">
        <f t="shared" si="379"/>
        <v>11297.39</v>
      </c>
      <c r="O1717" s="78">
        <v>11297.39</v>
      </c>
      <c r="P1717" s="72">
        <v>21260</v>
      </c>
      <c r="Q1717" s="256">
        <f t="shared" si="380"/>
        <v>4677.2</v>
      </c>
      <c r="R1717" s="256">
        <f t="shared" si="381"/>
        <v>25937.200000000001</v>
      </c>
      <c r="S1717" s="296"/>
      <c r="T1717" s="3">
        <v>97</v>
      </c>
      <c r="U1717" s="294"/>
    </row>
    <row r="1718" spans="1:21" ht="15" customHeight="1" x14ac:dyDescent="0.35">
      <c r="A1718" s="218" t="s">
        <v>3999</v>
      </c>
      <c r="B1718" s="3">
        <v>1609</v>
      </c>
      <c r="C1718" s="44">
        <v>102000935</v>
      </c>
      <c r="D1718" s="18" t="s">
        <v>1897</v>
      </c>
      <c r="E1718" s="19" t="s">
        <v>2219</v>
      </c>
      <c r="F1718" s="12">
        <v>2</v>
      </c>
      <c r="G1718" s="3" t="s">
        <v>0</v>
      </c>
      <c r="H1718" s="39">
        <v>42003</v>
      </c>
      <c r="I1718" s="27" t="s">
        <v>984</v>
      </c>
      <c r="J1718" s="4" t="s">
        <v>1962</v>
      </c>
      <c r="K1718" s="4" t="s">
        <v>988</v>
      </c>
      <c r="L1718" s="29" t="s">
        <v>977</v>
      </c>
      <c r="M1718" s="78">
        <f t="shared" si="362"/>
        <v>140359.72</v>
      </c>
      <c r="N1718" s="78">
        <f t="shared" si="379"/>
        <v>70179.86</v>
      </c>
      <c r="O1718" s="78">
        <v>140359.72</v>
      </c>
      <c r="P1718" s="72">
        <v>214460</v>
      </c>
      <c r="Q1718" s="256">
        <f t="shared" si="380"/>
        <v>47181.2</v>
      </c>
      <c r="R1718" s="256">
        <f t="shared" si="381"/>
        <v>261641.2</v>
      </c>
      <c r="S1718" s="296"/>
      <c r="T1718" s="3">
        <v>97</v>
      </c>
      <c r="U1718" s="294"/>
    </row>
    <row r="1719" spans="1:21" ht="15" customHeight="1" x14ac:dyDescent="0.35">
      <c r="A1719" s="218" t="s">
        <v>4000</v>
      </c>
      <c r="B1719" s="3">
        <v>1610</v>
      </c>
      <c r="C1719" s="65">
        <v>10152030</v>
      </c>
      <c r="D1719" s="8" t="s">
        <v>1417</v>
      </c>
      <c r="E1719" s="19" t="s">
        <v>2219</v>
      </c>
      <c r="F1719" s="92">
        <v>2</v>
      </c>
      <c r="G1719" s="3" t="s">
        <v>0</v>
      </c>
      <c r="H1719" s="40">
        <v>41487</v>
      </c>
      <c r="I1719" s="27" t="s">
        <v>984</v>
      </c>
      <c r="J1719" s="41" t="s">
        <v>1406</v>
      </c>
      <c r="K1719" s="4" t="s">
        <v>988</v>
      </c>
      <c r="L1719" s="29" t="s">
        <v>977</v>
      </c>
      <c r="M1719" s="78">
        <f t="shared" si="362"/>
        <v>1708</v>
      </c>
      <c r="N1719" s="78">
        <f t="shared" si="379"/>
        <v>854</v>
      </c>
      <c r="O1719" s="78">
        <v>1708</v>
      </c>
      <c r="P1719" s="72">
        <v>2530</v>
      </c>
      <c r="Q1719" s="256">
        <f t="shared" si="380"/>
        <v>556.6</v>
      </c>
      <c r="R1719" s="256">
        <f t="shared" si="381"/>
        <v>3086.6</v>
      </c>
      <c r="S1719" s="296"/>
      <c r="T1719" s="3">
        <v>97</v>
      </c>
      <c r="U1719" s="294"/>
    </row>
    <row r="1720" spans="1:21" ht="15" customHeight="1" x14ac:dyDescent="0.35">
      <c r="A1720" s="218" t="s">
        <v>4001</v>
      </c>
      <c r="B1720" s="3">
        <v>1611</v>
      </c>
      <c r="C1720" s="65">
        <v>10145393</v>
      </c>
      <c r="D1720" s="8" t="s">
        <v>1927</v>
      </c>
      <c r="E1720" s="19" t="s">
        <v>2219</v>
      </c>
      <c r="F1720" s="92">
        <v>9</v>
      </c>
      <c r="G1720" s="3" t="s">
        <v>0</v>
      </c>
      <c r="H1720" s="40">
        <v>41365</v>
      </c>
      <c r="I1720" s="27" t="s">
        <v>984</v>
      </c>
      <c r="J1720" s="4" t="s">
        <v>1962</v>
      </c>
      <c r="K1720" s="4" t="s">
        <v>988</v>
      </c>
      <c r="L1720" s="29" t="s">
        <v>977</v>
      </c>
      <c r="M1720" s="78">
        <f t="shared" si="362"/>
        <v>11094.92</v>
      </c>
      <c r="N1720" s="78">
        <f t="shared" si="379"/>
        <v>1232.77</v>
      </c>
      <c r="O1720" s="78">
        <v>11094.92</v>
      </c>
      <c r="P1720" s="72">
        <v>16590</v>
      </c>
      <c r="Q1720" s="256">
        <f t="shared" si="380"/>
        <v>3649.8</v>
      </c>
      <c r="R1720" s="256">
        <f t="shared" si="381"/>
        <v>20239.8</v>
      </c>
      <c r="S1720" s="297"/>
      <c r="T1720" s="3">
        <v>97</v>
      </c>
      <c r="U1720" s="294"/>
    </row>
    <row r="1721" spans="1:21" ht="15" customHeight="1" x14ac:dyDescent="0.35">
      <c r="A1721" s="218"/>
      <c r="B1721" s="94"/>
      <c r="C1721" s="44"/>
      <c r="D1721" s="18"/>
      <c r="E1721" s="18"/>
      <c r="F1721" s="12"/>
      <c r="G1721" s="12"/>
      <c r="H1721" s="5"/>
      <c r="I1721" s="27"/>
      <c r="J1721" s="4"/>
      <c r="K1721" s="4"/>
      <c r="L1721" s="4"/>
      <c r="M1721" s="89"/>
      <c r="N1721" s="89"/>
      <c r="O1721" s="111">
        <f>SUM(O1715:O1720)</f>
        <v>321383.03000000003</v>
      </c>
      <c r="P1721" s="276">
        <f t="shared" ref="P1721:Q1721" si="382">SUM(P1715:P1720)</f>
        <v>471280</v>
      </c>
      <c r="Q1721" s="282">
        <f t="shared" si="382"/>
        <v>103681.60000000001</v>
      </c>
      <c r="R1721" s="282">
        <f>SUM(R1715:R1720)</f>
        <v>574961.6</v>
      </c>
      <c r="S1721" s="286">
        <f>R1721/100*10</f>
        <v>57496.160000000003</v>
      </c>
      <c r="T1721" s="104">
        <v>97</v>
      </c>
      <c r="U1721" s="295"/>
    </row>
    <row r="1722" spans="1:21" ht="41.25" customHeight="1" x14ac:dyDescent="0.35">
      <c r="A1722" s="218" t="s">
        <v>4002</v>
      </c>
      <c r="B1722" s="3">
        <v>1612</v>
      </c>
      <c r="C1722" s="44">
        <v>102009306</v>
      </c>
      <c r="D1722" s="18" t="s">
        <v>216</v>
      </c>
      <c r="E1722" s="18" t="s">
        <v>4274</v>
      </c>
      <c r="F1722" s="12">
        <f>6-2</f>
        <v>4</v>
      </c>
      <c r="G1722" s="3" t="s">
        <v>0</v>
      </c>
      <c r="H1722" s="5">
        <v>42247</v>
      </c>
      <c r="I1722" s="5" t="s">
        <v>985</v>
      </c>
      <c r="J1722" s="4" t="s">
        <v>1962</v>
      </c>
      <c r="K1722" s="6" t="s">
        <v>2007</v>
      </c>
      <c r="L1722" s="6" t="s">
        <v>871</v>
      </c>
      <c r="M1722" s="81">
        <f t="shared" si="362"/>
        <v>107531.44</v>
      </c>
      <c r="N1722" s="81">
        <f t="shared" ref="N1722:N1727" si="383">O1722/F1722</f>
        <v>26882.86</v>
      </c>
      <c r="O1722" s="81">
        <f>161297.16/6*4</f>
        <v>107531.44</v>
      </c>
      <c r="P1722" s="72">
        <v>92820</v>
      </c>
      <c r="Q1722" s="256">
        <f t="shared" ref="Q1722:Q1727" si="384">R1722-P1722</f>
        <v>20420.400000000001</v>
      </c>
      <c r="R1722" s="256">
        <f t="shared" ref="R1722:R1727" si="385">P1722*1.22</f>
        <v>113240.4</v>
      </c>
      <c r="S1722" s="289"/>
      <c r="T1722" s="3">
        <v>98</v>
      </c>
      <c r="U1722" s="292" t="s">
        <v>2353</v>
      </c>
    </row>
    <row r="1723" spans="1:21" ht="30" customHeight="1" x14ac:dyDescent="0.35">
      <c r="A1723" s="218" t="s">
        <v>4003</v>
      </c>
      <c r="B1723" s="3">
        <v>1613</v>
      </c>
      <c r="C1723" s="44">
        <v>102001457</v>
      </c>
      <c r="D1723" s="18" t="s">
        <v>365</v>
      </c>
      <c r="E1723" s="18" t="s">
        <v>2201</v>
      </c>
      <c r="F1723" s="12">
        <v>2</v>
      </c>
      <c r="G1723" s="3" t="s">
        <v>0</v>
      </c>
      <c r="H1723" s="5">
        <v>42824</v>
      </c>
      <c r="I1723" s="5" t="s">
        <v>999</v>
      </c>
      <c r="J1723" s="4" t="s">
        <v>1962</v>
      </c>
      <c r="K1723" s="5" t="s">
        <v>988</v>
      </c>
      <c r="L1723" s="5" t="s">
        <v>871</v>
      </c>
      <c r="M1723" s="72">
        <f t="shared" ref="M1723:M1769" si="386">O1723</f>
        <v>33409.86</v>
      </c>
      <c r="N1723" s="72">
        <f t="shared" si="383"/>
        <v>16704.93</v>
      </c>
      <c r="O1723" s="72">
        <v>33409.86</v>
      </c>
      <c r="P1723" s="72">
        <v>27100</v>
      </c>
      <c r="Q1723" s="256">
        <f t="shared" si="384"/>
        <v>5962</v>
      </c>
      <c r="R1723" s="256">
        <f t="shared" si="385"/>
        <v>33062</v>
      </c>
      <c r="S1723" s="296"/>
      <c r="T1723" s="3">
        <v>98</v>
      </c>
      <c r="U1723" s="294"/>
    </row>
    <row r="1724" spans="1:21" ht="30" customHeight="1" x14ac:dyDescent="0.35">
      <c r="A1724" s="218" t="s">
        <v>4004</v>
      </c>
      <c r="B1724" s="3">
        <v>1614</v>
      </c>
      <c r="C1724" s="44">
        <v>102001502</v>
      </c>
      <c r="D1724" s="18" t="s">
        <v>366</v>
      </c>
      <c r="E1724" s="18" t="s">
        <v>2201</v>
      </c>
      <c r="F1724" s="12">
        <v>2</v>
      </c>
      <c r="G1724" s="3" t="s">
        <v>0</v>
      </c>
      <c r="H1724" s="5">
        <v>42824</v>
      </c>
      <c r="I1724" s="5" t="s">
        <v>999</v>
      </c>
      <c r="J1724" s="4" t="s">
        <v>1962</v>
      </c>
      <c r="K1724" s="5" t="s">
        <v>988</v>
      </c>
      <c r="L1724" s="5" t="s">
        <v>871</v>
      </c>
      <c r="M1724" s="72">
        <f t="shared" si="386"/>
        <v>32920</v>
      </c>
      <c r="N1724" s="72">
        <f t="shared" si="383"/>
        <v>16460</v>
      </c>
      <c r="O1724" s="72">
        <v>32920</v>
      </c>
      <c r="P1724" s="72">
        <v>26700</v>
      </c>
      <c r="Q1724" s="256">
        <f t="shared" si="384"/>
        <v>5874</v>
      </c>
      <c r="R1724" s="256">
        <f t="shared" si="385"/>
        <v>32574</v>
      </c>
      <c r="S1724" s="296"/>
      <c r="T1724" s="3">
        <v>98</v>
      </c>
      <c r="U1724" s="294"/>
    </row>
    <row r="1725" spans="1:21" ht="15" customHeight="1" x14ac:dyDescent="0.35">
      <c r="A1725" s="218" t="s">
        <v>4005</v>
      </c>
      <c r="B1725" s="3">
        <v>1615</v>
      </c>
      <c r="C1725" s="58">
        <v>10014759</v>
      </c>
      <c r="D1725" s="21" t="s">
        <v>920</v>
      </c>
      <c r="E1725" s="18" t="s">
        <v>2201</v>
      </c>
      <c r="F1725" s="7">
        <v>1</v>
      </c>
      <c r="G1725" s="3" t="s">
        <v>0</v>
      </c>
      <c r="H1725" s="33">
        <v>42004</v>
      </c>
      <c r="I1725" s="4" t="s">
        <v>999</v>
      </c>
      <c r="J1725" s="4" t="s">
        <v>1962</v>
      </c>
      <c r="K1725" s="4" t="s">
        <v>988</v>
      </c>
      <c r="L1725" s="5" t="s">
        <v>871</v>
      </c>
      <c r="M1725" s="72">
        <f t="shared" si="386"/>
        <v>11374.04</v>
      </c>
      <c r="N1725" s="72">
        <f t="shared" si="383"/>
        <v>11374.04</v>
      </c>
      <c r="O1725" s="72">
        <v>11374.04</v>
      </c>
      <c r="P1725" s="72">
        <v>10850</v>
      </c>
      <c r="Q1725" s="256">
        <f t="shared" si="384"/>
        <v>2387</v>
      </c>
      <c r="R1725" s="256">
        <f t="shared" si="385"/>
        <v>13237</v>
      </c>
      <c r="S1725" s="296"/>
      <c r="T1725" s="3">
        <v>98</v>
      </c>
      <c r="U1725" s="294"/>
    </row>
    <row r="1726" spans="1:21" ht="15" customHeight="1" x14ac:dyDescent="0.35">
      <c r="A1726" s="218" t="s">
        <v>4006</v>
      </c>
      <c r="B1726" s="3">
        <v>1616</v>
      </c>
      <c r="C1726" s="45">
        <v>102001204</v>
      </c>
      <c r="D1726" s="2" t="s">
        <v>2142</v>
      </c>
      <c r="E1726" s="18" t="s">
        <v>711</v>
      </c>
      <c r="F1726" s="7">
        <v>1</v>
      </c>
      <c r="G1726" s="3" t="s">
        <v>0</v>
      </c>
      <c r="H1726" s="5">
        <v>42004</v>
      </c>
      <c r="I1726" s="30" t="s">
        <v>1003</v>
      </c>
      <c r="J1726" s="4" t="s">
        <v>1962</v>
      </c>
      <c r="K1726" s="4" t="s">
        <v>988</v>
      </c>
      <c r="L1726" s="29" t="s">
        <v>2143</v>
      </c>
      <c r="M1726" s="78">
        <f t="shared" si="386"/>
        <v>50305.08</v>
      </c>
      <c r="N1726" s="78">
        <f t="shared" si="383"/>
        <v>50305.08</v>
      </c>
      <c r="O1726" s="78">
        <v>50305.08</v>
      </c>
      <c r="P1726" s="72">
        <v>47970</v>
      </c>
      <c r="Q1726" s="256">
        <f t="shared" si="384"/>
        <v>10553.4</v>
      </c>
      <c r="R1726" s="256">
        <f t="shared" si="385"/>
        <v>58523.4</v>
      </c>
      <c r="S1726" s="296"/>
      <c r="T1726" s="3">
        <v>98</v>
      </c>
      <c r="U1726" s="294"/>
    </row>
    <row r="1727" spans="1:21" ht="15" customHeight="1" x14ac:dyDescent="0.35">
      <c r="A1727" s="218" t="s">
        <v>4007</v>
      </c>
      <c r="B1727" s="3">
        <v>1617</v>
      </c>
      <c r="C1727" s="18">
        <v>10008728</v>
      </c>
      <c r="D1727" s="18" t="s">
        <v>2149</v>
      </c>
      <c r="E1727" s="18" t="s">
        <v>711</v>
      </c>
      <c r="F1727" s="12">
        <v>2</v>
      </c>
      <c r="G1727" s="3" t="s">
        <v>0</v>
      </c>
      <c r="H1727" s="6">
        <v>42004</v>
      </c>
      <c r="I1727" s="13" t="s">
        <v>1003</v>
      </c>
      <c r="J1727" s="4" t="s">
        <v>1962</v>
      </c>
      <c r="K1727" s="28" t="s">
        <v>2149</v>
      </c>
      <c r="L1727" s="3" t="s">
        <v>871</v>
      </c>
      <c r="M1727" s="72">
        <f t="shared" si="386"/>
        <v>5411.78</v>
      </c>
      <c r="N1727" s="72">
        <f t="shared" si="383"/>
        <v>2705.89</v>
      </c>
      <c r="O1727" s="72">
        <v>5411.78</v>
      </c>
      <c r="P1727" s="72">
        <v>5160</v>
      </c>
      <c r="Q1727" s="256">
        <f t="shared" si="384"/>
        <v>1135.2</v>
      </c>
      <c r="R1727" s="256">
        <f t="shared" si="385"/>
        <v>6295.2</v>
      </c>
      <c r="S1727" s="297"/>
      <c r="T1727" s="3">
        <v>98</v>
      </c>
      <c r="U1727" s="294"/>
    </row>
    <row r="1728" spans="1:21" ht="15" customHeight="1" x14ac:dyDescent="0.35">
      <c r="A1728" s="218"/>
      <c r="B1728" s="94"/>
      <c r="C1728" s="18"/>
      <c r="D1728" s="18"/>
      <c r="E1728" s="18"/>
      <c r="F1728" s="12"/>
      <c r="G1728" s="3"/>
      <c r="H1728" s="6"/>
      <c r="I1728" s="13"/>
      <c r="J1728" s="4"/>
      <c r="K1728" s="28"/>
      <c r="L1728" s="3"/>
      <c r="M1728" s="96"/>
      <c r="N1728" s="96"/>
      <c r="O1728" s="82">
        <f>SUM(O1722:O1727)</f>
        <v>240952.2</v>
      </c>
      <c r="P1728" s="276">
        <f t="shared" ref="P1728:Q1728" si="387">SUM(P1722:P1727)</f>
        <v>210600</v>
      </c>
      <c r="Q1728" s="282">
        <f t="shared" si="387"/>
        <v>46332</v>
      </c>
      <c r="R1728" s="282">
        <f>SUM(R1722:R1727)</f>
        <v>256932</v>
      </c>
      <c r="S1728" s="286">
        <f>R1728/100*10</f>
        <v>25693.200000000001</v>
      </c>
      <c r="T1728" s="104">
        <v>98</v>
      </c>
      <c r="U1728" s="295"/>
    </row>
    <row r="1729" spans="1:21" ht="31.5" customHeight="1" x14ac:dyDescent="0.35">
      <c r="A1729" s="224" t="s">
        <v>4104</v>
      </c>
      <c r="B1729" s="3">
        <v>1618</v>
      </c>
      <c r="C1729" s="55">
        <v>102001694</v>
      </c>
      <c r="D1729" s="19" t="s">
        <v>1415</v>
      </c>
      <c r="E1729" s="19" t="s">
        <v>2219</v>
      </c>
      <c r="F1729" s="34">
        <f>1+5</f>
        <v>6</v>
      </c>
      <c r="G1729" s="4" t="s">
        <v>0</v>
      </c>
      <c r="H1729" s="20">
        <v>2015</v>
      </c>
      <c r="I1729" s="27" t="s">
        <v>984</v>
      </c>
      <c r="J1729" s="4" t="s">
        <v>1962</v>
      </c>
      <c r="K1729" s="4" t="s">
        <v>988</v>
      </c>
      <c r="L1729" s="29" t="s">
        <v>977</v>
      </c>
      <c r="M1729" s="78">
        <f t="shared" si="386"/>
        <v>2298344.92</v>
      </c>
      <c r="N1729" s="78">
        <f t="shared" ref="N1729:N1742" si="388">O1729/F1729</f>
        <v>383057.49</v>
      </c>
      <c r="O1729" s="78">
        <v>2298344.92</v>
      </c>
      <c r="P1729" s="72">
        <v>2504250</v>
      </c>
      <c r="Q1729" s="256">
        <f t="shared" ref="Q1729:Q1742" si="389">R1729-P1729</f>
        <v>550935</v>
      </c>
      <c r="R1729" s="256">
        <f t="shared" ref="R1729:R1742" si="390">P1729*1.22</f>
        <v>3055185</v>
      </c>
      <c r="S1729" s="289"/>
      <c r="T1729" s="3">
        <v>99</v>
      </c>
      <c r="U1729" s="292" t="s">
        <v>2354</v>
      </c>
    </row>
    <row r="1730" spans="1:21" ht="15" customHeight="1" x14ac:dyDescent="0.35">
      <c r="A1730" s="218" t="s">
        <v>4008</v>
      </c>
      <c r="B1730" s="3">
        <v>1619</v>
      </c>
      <c r="C1730" s="44">
        <v>102000671</v>
      </c>
      <c r="D1730" s="18" t="s">
        <v>1477</v>
      </c>
      <c r="E1730" s="19" t="s">
        <v>2219</v>
      </c>
      <c r="F1730" s="12">
        <v>2</v>
      </c>
      <c r="G1730" s="3" t="s">
        <v>0</v>
      </c>
      <c r="H1730" s="39">
        <v>41891</v>
      </c>
      <c r="I1730" s="27" t="s">
        <v>984</v>
      </c>
      <c r="J1730" s="4" t="s">
        <v>1962</v>
      </c>
      <c r="K1730" s="4" t="s">
        <v>988</v>
      </c>
      <c r="L1730" s="29" t="s">
        <v>977</v>
      </c>
      <c r="M1730" s="79">
        <f t="shared" si="386"/>
        <v>1301939.22</v>
      </c>
      <c r="N1730" s="79">
        <f t="shared" si="388"/>
        <v>650969.61</v>
      </c>
      <c r="O1730" s="78">
        <v>1301939.22</v>
      </c>
      <c r="P1730" s="72">
        <v>1584990</v>
      </c>
      <c r="Q1730" s="256">
        <f t="shared" si="389"/>
        <v>348697.8</v>
      </c>
      <c r="R1730" s="256">
        <f t="shared" si="390"/>
        <v>1933687.8</v>
      </c>
      <c r="S1730" s="296"/>
      <c r="T1730" s="3">
        <v>99</v>
      </c>
      <c r="U1730" s="293"/>
    </row>
    <row r="1731" spans="1:21" ht="15" customHeight="1" x14ac:dyDescent="0.35">
      <c r="A1731" s="218" t="s">
        <v>4009</v>
      </c>
      <c r="B1731" s="3">
        <v>1620</v>
      </c>
      <c r="C1731" s="44">
        <v>102001464</v>
      </c>
      <c r="D1731" s="18" t="s">
        <v>1949</v>
      </c>
      <c r="E1731" s="19" t="s">
        <v>2219</v>
      </c>
      <c r="F1731" s="12">
        <v>32</v>
      </c>
      <c r="G1731" s="3" t="s">
        <v>0</v>
      </c>
      <c r="H1731" s="3">
        <v>2015</v>
      </c>
      <c r="I1731" s="27" t="s">
        <v>984</v>
      </c>
      <c r="J1731" s="4" t="s">
        <v>1962</v>
      </c>
      <c r="K1731" s="4" t="s">
        <v>988</v>
      </c>
      <c r="L1731" s="29" t="s">
        <v>977</v>
      </c>
      <c r="M1731" s="78">
        <f t="shared" si="386"/>
        <v>1922292.83</v>
      </c>
      <c r="N1731" s="78">
        <f t="shared" si="388"/>
        <v>60071.65</v>
      </c>
      <c r="O1731" s="78">
        <v>1922292.83</v>
      </c>
      <c r="P1731" s="72">
        <v>2094510</v>
      </c>
      <c r="Q1731" s="256">
        <f t="shared" si="389"/>
        <v>460792.2</v>
      </c>
      <c r="R1731" s="256">
        <f t="shared" si="390"/>
        <v>2555302.2000000002</v>
      </c>
      <c r="S1731" s="296"/>
      <c r="T1731" s="3">
        <v>99</v>
      </c>
      <c r="U1731" s="293"/>
    </row>
    <row r="1732" spans="1:21" ht="15" customHeight="1" x14ac:dyDescent="0.35">
      <c r="A1732" s="218" t="s">
        <v>4010</v>
      </c>
      <c r="B1732" s="3">
        <v>1621</v>
      </c>
      <c r="C1732" s="44">
        <v>102000740</v>
      </c>
      <c r="D1732" s="18" t="s">
        <v>1950</v>
      </c>
      <c r="E1732" s="19" t="s">
        <v>2219</v>
      </c>
      <c r="F1732" s="12">
        <v>2</v>
      </c>
      <c r="G1732" s="3" t="s">
        <v>0</v>
      </c>
      <c r="H1732" s="39">
        <v>41891</v>
      </c>
      <c r="I1732" s="27" t="s">
        <v>984</v>
      </c>
      <c r="J1732" s="4" t="s">
        <v>1962</v>
      </c>
      <c r="K1732" s="4" t="s">
        <v>988</v>
      </c>
      <c r="L1732" s="29" t="s">
        <v>977</v>
      </c>
      <c r="M1732" s="78">
        <f t="shared" si="386"/>
        <v>288980.45</v>
      </c>
      <c r="N1732" s="78">
        <f t="shared" si="388"/>
        <v>144490.23000000001</v>
      </c>
      <c r="O1732" s="78">
        <v>288980.45</v>
      </c>
      <c r="P1732" s="72">
        <v>351810</v>
      </c>
      <c r="Q1732" s="256">
        <f t="shared" si="389"/>
        <v>77398.2</v>
      </c>
      <c r="R1732" s="256">
        <f t="shared" si="390"/>
        <v>429208.2</v>
      </c>
      <c r="S1732" s="296"/>
      <c r="T1732" s="3">
        <v>99</v>
      </c>
      <c r="U1732" s="293"/>
    </row>
    <row r="1733" spans="1:21" ht="30" customHeight="1" x14ac:dyDescent="0.35">
      <c r="A1733" s="218" t="s">
        <v>4011</v>
      </c>
      <c r="B1733" s="3">
        <v>1622</v>
      </c>
      <c r="C1733" s="44">
        <v>102001635</v>
      </c>
      <c r="D1733" s="18" t="s">
        <v>1951</v>
      </c>
      <c r="E1733" s="19" t="s">
        <v>2219</v>
      </c>
      <c r="F1733" s="12">
        <v>5</v>
      </c>
      <c r="G1733" s="3" t="s">
        <v>0</v>
      </c>
      <c r="H1733" s="3">
        <v>2015</v>
      </c>
      <c r="I1733" s="27" t="s">
        <v>984</v>
      </c>
      <c r="J1733" s="4" t="s">
        <v>1962</v>
      </c>
      <c r="K1733" s="4" t="s">
        <v>988</v>
      </c>
      <c r="L1733" s="29" t="s">
        <v>977</v>
      </c>
      <c r="M1733" s="78">
        <f t="shared" si="386"/>
        <v>861665.49</v>
      </c>
      <c r="N1733" s="78">
        <f t="shared" si="388"/>
        <v>172333.1</v>
      </c>
      <c r="O1733" s="78">
        <v>861665.49</v>
      </c>
      <c r="P1733" s="72">
        <v>938860</v>
      </c>
      <c r="Q1733" s="256">
        <f t="shared" si="389"/>
        <v>206549.2</v>
      </c>
      <c r="R1733" s="256">
        <f t="shared" si="390"/>
        <v>1145409.2</v>
      </c>
      <c r="S1733" s="296"/>
      <c r="T1733" s="3">
        <v>99</v>
      </c>
      <c r="U1733" s="293"/>
    </row>
    <row r="1734" spans="1:21" ht="15" customHeight="1" x14ac:dyDescent="0.35">
      <c r="A1734" s="218" t="s">
        <v>4015</v>
      </c>
      <c r="B1734" s="3">
        <v>1623</v>
      </c>
      <c r="C1734" s="44">
        <v>102000683</v>
      </c>
      <c r="D1734" s="18" t="s">
        <v>1955</v>
      </c>
      <c r="E1734" s="19" t="s">
        <v>2219</v>
      </c>
      <c r="F1734" s="12">
        <v>2</v>
      </c>
      <c r="G1734" s="3" t="s">
        <v>0</v>
      </c>
      <c r="H1734" s="39">
        <v>41891</v>
      </c>
      <c r="I1734" s="27" t="s">
        <v>984</v>
      </c>
      <c r="J1734" s="4" t="s">
        <v>1962</v>
      </c>
      <c r="K1734" s="4" t="s">
        <v>988</v>
      </c>
      <c r="L1734" s="29" t="s">
        <v>977</v>
      </c>
      <c r="M1734" s="78">
        <f t="shared" si="386"/>
        <v>328523.7</v>
      </c>
      <c r="N1734" s="78">
        <f t="shared" si="388"/>
        <v>164261.85</v>
      </c>
      <c r="O1734" s="78">
        <v>328523.7</v>
      </c>
      <c r="P1734" s="72">
        <v>399950</v>
      </c>
      <c r="Q1734" s="256">
        <f t="shared" si="389"/>
        <v>87989</v>
      </c>
      <c r="R1734" s="256">
        <f t="shared" si="390"/>
        <v>487939</v>
      </c>
      <c r="S1734" s="296"/>
      <c r="T1734" s="3">
        <v>99</v>
      </c>
      <c r="U1734" s="293"/>
    </row>
    <row r="1735" spans="1:21" ht="15" customHeight="1" x14ac:dyDescent="0.35">
      <c r="A1735" s="218" t="s">
        <v>4016</v>
      </c>
      <c r="B1735" s="3">
        <v>1624</v>
      </c>
      <c r="C1735" s="44">
        <v>10147826</v>
      </c>
      <c r="D1735" s="18" t="s">
        <v>1956</v>
      </c>
      <c r="E1735" s="19" t="s">
        <v>2219</v>
      </c>
      <c r="F1735" s="12">
        <v>1</v>
      </c>
      <c r="G1735" s="3" t="s">
        <v>0</v>
      </c>
      <c r="H1735" s="39">
        <v>41369</v>
      </c>
      <c r="I1735" s="27" t="s">
        <v>984</v>
      </c>
      <c r="J1735" s="4" t="s">
        <v>1972</v>
      </c>
      <c r="K1735" s="4" t="s">
        <v>988</v>
      </c>
      <c r="L1735" s="29" t="s">
        <v>977</v>
      </c>
      <c r="M1735" s="78">
        <f t="shared" si="386"/>
        <v>26353.34</v>
      </c>
      <c r="N1735" s="78">
        <f t="shared" si="388"/>
        <v>26353.34</v>
      </c>
      <c r="O1735" s="78">
        <v>26353.34</v>
      </c>
      <c r="P1735" s="72">
        <v>31240</v>
      </c>
      <c r="Q1735" s="256">
        <f t="shared" si="389"/>
        <v>6872.8</v>
      </c>
      <c r="R1735" s="256">
        <f t="shared" si="390"/>
        <v>38112.800000000003</v>
      </c>
      <c r="S1735" s="296"/>
      <c r="T1735" s="3">
        <v>99</v>
      </c>
      <c r="U1735" s="293"/>
    </row>
    <row r="1736" spans="1:21" ht="15" customHeight="1" x14ac:dyDescent="0.35">
      <c r="A1736" s="218" t="s">
        <v>4017</v>
      </c>
      <c r="B1736" s="3">
        <v>1625</v>
      </c>
      <c r="C1736" s="44">
        <v>10135506</v>
      </c>
      <c r="D1736" s="18" t="s">
        <v>1957</v>
      </c>
      <c r="E1736" s="19" t="s">
        <v>2219</v>
      </c>
      <c r="F1736" s="12">
        <v>12</v>
      </c>
      <c r="G1736" s="3" t="s">
        <v>0</v>
      </c>
      <c r="H1736" s="39">
        <v>41030</v>
      </c>
      <c r="I1736" s="27" t="s">
        <v>984</v>
      </c>
      <c r="J1736" s="4" t="s">
        <v>1972</v>
      </c>
      <c r="K1736" s="4" t="s">
        <v>988</v>
      </c>
      <c r="L1736" s="29" t="s">
        <v>977</v>
      </c>
      <c r="M1736" s="78">
        <f t="shared" si="386"/>
        <v>339541.44</v>
      </c>
      <c r="N1736" s="78">
        <f t="shared" si="388"/>
        <v>28295.119999999999</v>
      </c>
      <c r="O1736" s="78">
        <v>339541.44</v>
      </c>
      <c r="P1736" s="72">
        <v>410080</v>
      </c>
      <c r="Q1736" s="256">
        <f t="shared" si="389"/>
        <v>90217.600000000006</v>
      </c>
      <c r="R1736" s="256">
        <f t="shared" si="390"/>
        <v>500297.6</v>
      </c>
      <c r="S1736" s="296"/>
      <c r="T1736" s="3">
        <v>99</v>
      </c>
      <c r="U1736" s="293"/>
    </row>
    <row r="1737" spans="1:21" ht="15" customHeight="1" x14ac:dyDescent="0.35">
      <c r="A1737" s="218" t="s">
        <v>4018</v>
      </c>
      <c r="B1737" s="3">
        <v>1626</v>
      </c>
      <c r="C1737" s="44">
        <v>102000892</v>
      </c>
      <c r="D1737" s="18" t="s">
        <v>1958</v>
      </c>
      <c r="E1737" s="19" t="s">
        <v>2219</v>
      </c>
      <c r="F1737" s="12">
        <v>1</v>
      </c>
      <c r="G1737" s="3" t="s">
        <v>0</v>
      </c>
      <c r="H1737" s="39">
        <v>41891</v>
      </c>
      <c r="I1737" s="27" t="s">
        <v>984</v>
      </c>
      <c r="J1737" s="4" t="s">
        <v>1962</v>
      </c>
      <c r="K1737" s="4" t="s">
        <v>988</v>
      </c>
      <c r="L1737" s="29" t="s">
        <v>977</v>
      </c>
      <c r="M1737" s="78">
        <f t="shared" si="386"/>
        <v>2056113.24</v>
      </c>
      <c r="N1737" s="78">
        <f t="shared" si="388"/>
        <v>2056113.24</v>
      </c>
      <c r="O1737" s="78">
        <v>2056113.24</v>
      </c>
      <c r="P1737" s="72">
        <v>2503130</v>
      </c>
      <c r="Q1737" s="256">
        <f t="shared" si="389"/>
        <v>550688.6</v>
      </c>
      <c r="R1737" s="256">
        <f t="shared" si="390"/>
        <v>3053818.6</v>
      </c>
      <c r="S1737" s="296"/>
      <c r="T1737" s="3">
        <v>99</v>
      </c>
      <c r="U1737" s="293"/>
    </row>
    <row r="1738" spans="1:21" ht="15" customHeight="1" x14ac:dyDescent="0.35">
      <c r="A1738" s="218" t="s">
        <v>4019</v>
      </c>
      <c r="B1738" s="3">
        <v>1627</v>
      </c>
      <c r="C1738" s="65">
        <v>102001474</v>
      </c>
      <c r="D1738" s="8" t="s">
        <v>1414</v>
      </c>
      <c r="E1738" s="19" t="s">
        <v>2219</v>
      </c>
      <c r="F1738" s="92">
        <v>2</v>
      </c>
      <c r="G1738" s="3" t="s">
        <v>0</v>
      </c>
      <c r="H1738" s="40">
        <v>41426</v>
      </c>
      <c r="I1738" s="27" t="s">
        <v>984</v>
      </c>
      <c r="J1738" s="41" t="s">
        <v>1406</v>
      </c>
      <c r="K1738" s="4" t="s">
        <v>988</v>
      </c>
      <c r="L1738" s="29" t="s">
        <v>977</v>
      </c>
      <c r="M1738" s="78">
        <f t="shared" si="386"/>
        <v>1133499.1599999999</v>
      </c>
      <c r="N1738" s="78">
        <f t="shared" si="388"/>
        <v>566749.57999999996</v>
      </c>
      <c r="O1738" s="78">
        <v>1133499.1599999999</v>
      </c>
      <c r="P1738" s="72">
        <v>1346580</v>
      </c>
      <c r="Q1738" s="256">
        <f t="shared" si="389"/>
        <v>296247.59999999998</v>
      </c>
      <c r="R1738" s="256">
        <f t="shared" si="390"/>
        <v>1642827.6</v>
      </c>
      <c r="S1738" s="296"/>
      <c r="T1738" s="3">
        <v>99</v>
      </c>
      <c r="U1738" s="293"/>
    </row>
    <row r="1739" spans="1:21" ht="15" customHeight="1" x14ac:dyDescent="0.35">
      <c r="A1739" s="218" t="s">
        <v>4105</v>
      </c>
      <c r="B1739" s="3">
        <v>1628</v>
      </c>
      <c r="C1739" s="65">
        <v>102001564</v>
      </c>
      <c r="D1739" s="8" t="s">
        <v>31</v>
      </c>
      <c r="E1739" s="19" t="s">
        <v>2219</v>
      </c>
      <c r="F1739" s="92">
        <v>5</v>
      </c>
      <c r="G1739" s="3" t="s">
        <v>0</v>
      </c>
      <c r="H1739" s="40">
        <v>41426</v>
      </c>
      <c r="I1739" s="27" t="s">
        <v>984</v>
      </c>
      <c r="J1739" s="41" t="s">
        <v>1406</v>
      </c>
      <c r="K1739" s="4" t="s">
        <v>988</v>
      </c>
      <c r="L1739" s="29" t="s">
        <v>977</v>
      </c>
      <c r="M1739" s="78">
        <f t="shared" si="386"/>
        <v>3430631.96</v>
      </c>
      <c r="N1739" s="78">
        <f t="shared" si="388"/>
        <v>686126.39</v>
      </c>
      <c r="O1739" s="78">
        <v>3430631.96</v>
      </c>
      <c r="P1739" s="72">
        <v>4075540</v>
      </c>
      <c r="Q1739" s="256">
        <f t="shared" si="389"/>
        <v>896618.8</v>
      </c>
      <c r="R1739" s="256">
        <f t="shared" si="390"/>
        <v>4972158.8</v>
      </c>
      <c r="S1739" s="296"/>
      <c r="T1739" s="3">
        <v>99</v>
      </c>
      <c r="U1739" s="293"/>
    </row>
    <row r="1740" spans="1:21" ht="15" customHeight="1" x14ac:dyDescent="0.35">
      <c r="A1740" s="218" t="s">
        <v>4020</v>
      </c>
      <c r="B1740" s="3">
        <v>1629</v>
      </c>
      <c r="C1740" s="65">
        <v>102001082</v>
      </c>
      <c r="D1740" s="8" t="s">
        <v>1416</v>
      </c>
      <c r="E1740" s="19" t="s">
        <v>2219</v>
      </c>
      <c r="F1740" s="92">
        <v>1</v>
      </c>
      <c r="G1740" s="3" t="s">
        <v>0</v>
      </c>
      <c r="H1740" s="40">
        <v>41334</v>
      </c>
      <c r="I1740" s="27" t="s">
        <v>984</v>
      </c>
      <c r="J1740" s="41" t="s">
        <v>1406</v>
      </c>
      <c r="K1740" s="4" t="s">
        <v>988</v>
      </c>
      <c r="L1740" s="29" t="s">
        <v>977</v>
      </c>
      <c r="M1740" s="78">
        <f t="shared" si="386"/>
        <v>1606448</v>
      </c>
      <c r="N1740" s="78">
        <f t="shared" si="388"/>
        <v>1606448</v>
      </c>
      <c r="O1740" s="78">
        <v>1606448</v>
      </c>
      <c r="P1740" s="72">
        <v>1912310</v>
      </c>
      <c r="Q1740" s="256">
        <f t="shared" si="389"/>
        <v>420708.2</v>
      </c>
      <c r="R1740" s="256">
        <f t="shared" si="390"/>
        <v>2333018.2000000002</v>
      </c>
      <c r="S1740" s="296"/>
      <c r="T1740" s="3">
        <v>99</v>
      </c>
      <c r="U1740" s="293"/>
    </row>
    <row r="1741" spans="1:21" ht="15" customHeight="1" x14ac:dyDescent="0.35">
      <c r="A1741" s="218" t="s">
        <v>4021</v>
      </c>
      <c r="B1741" s="3">
        <v>1630</v>
      </c>
      <c r="C1741" s="65">
        <v>10142809</v>
      </c>
      <c r="D1741" s="8" t="s">
        <v>1419</v>
      </c>
      <c r="E1741" s="19" t="s">
        <v>2219</v>
      </c>
      <c r="F1741" s="92">
        <v>1</v>
      </c>
      <c r="G1741" s="3" t="s">
        <v>0</v>
      </c>
      <c r="H1741" s="40">
        <v>41091</v>
      </c>
      <c r="I1741" s="27" t="s">
        <v>984</v>
      </c>
      <c r="J1741" s="4" t="s">
        <v>1962</v>
      </c>
      <c r="K1741" s="4" t="s">
        <v>988</v>
      </c>
      <c r="L1741" s="29" t="s">
        <v>977</v>
      </c>
      <c r="M1741" s="78">
        <f t="shared" si="386"/>
        <v>333597.46000000002</v>
      </c>
      <c r="N1741" s="78">
        <f t="shared" si="388"/>
        <v>333597.46000000002</v>
      </c>
      <c r="O1741" s="78">
        <v>333597.46000000002</v>
      </c>
      <c r="P1741" s="72">
        <v>406610</v>
      </c>
      <c r="Q1741" s="256">
        <f t="shared" si="389"/>
        <v>89454.2</v>
      </c>
      <c r="R1741" s="256">
        <f t="shared" si="390"/>
        <v>496064.2</v>
      </c>
      <c r="S1741" s="296"/>
      <c r="T1741" s="3">
        <v>99</v>
      </c>
      <c r="U1741" s="293"/>
    </row>
    <row r="1742" spans="1:21" ht="15" customHeight="1" x14ac:dyDescent="0.35">
      <c r="A1742" s="218" t="s">
        <v>4022</v>
      </c>
      <c r="B1742" s="3">
        <v>1631</v>
      </c>
      <c r="C1742" s="65">
        <v>102000442</v>
      </c>
      <c r="D1742" s="8" t="s">
        <v>1928</v>
      </c>
      <c r="E1742" s="19" t="s">
        <v>2219</v>
      </c>
      <c r="F1742" s="92">
        <v>34</v>
      </c>
      <c r="G1742" s="3" t="s">
        <v>0</v>
      </c>
      <c r="H1742" s="40">
        <v>41487</v>
      </c>
      <c r="I1742" s="27" t="s">
        <v>984</v>
      </c>
      <c r="J1742" s="41" t="s">
        <v>2303</v>
      </c>
      <c r="K1742" s="4" t="s">
        <v>988</v>
      </c>
      <c r="L1742" s="29" t="s">
        <v>977</v>
      </c>
      <c r="M1742" s="78">
        <f t="shared" si="386"/>
        <v>1993692</v>
      </c>
      <c r="N1742" s="78">
        <f t="shared" si="388"/>
        <v>58638</v>
      </c>
      <c r="O1742" s="78">
        <v>1993692</v>
      </c>
      <c r="P1742" s="72">
        <v>2338670</v>
      </c>
      <c r="Q1742" s="256">
        <f t="shared" si="389"/>
        <v>514507.4</v>
      </c>
      <c r="R1742" s="256">
        <f t="shared" si="390"/>
        <v>2853177.4</v>
      </c>
      <c r="S1742" s="297"/>
      <c r="T1742" s="3">
        <v>99</v>
      </c>
      <c r="U1742" s="293"/>
    </row>
    <row r="1743" spans="1:21" ht="15" customHeight="1" x14ac:dyDescent="0.35">
      <c r="A1743" s="218"/>
      <c r="B1743" s="94"/>
      <c r="C1743" s="65"/>
      <c r="D1743" s="8"/>
      <c r="E1743" s="19"/>
      <c r="F1743" s="92"/>
      <c r="G1743" s="3"/>
      <c r="H1743" s="40"/>
      <c r="I1743" s="27"/>
      <c r="J1743" s="41"/>
      <c r="K1743" s="4"/>
      <c r="L1743" s="29"/>
      <c r="M1743" s="78"/>
      <c r="N1743" s="78"/>
      <c r="O1743" s="108">
        <f>SUM(O1729:O1742)</f>
        <v>17921623.210000001</v>
      </c>
      <c r="P1743" s="276">
        <f t="shared" ref="P1743:Q1743" si="391">SUM(P1729:P1742)</f>
        <v>20898530</v>
      </c>
      <c r="Q1743" s="282">
        <f t="shared" si="391"/>
        <v>4597676.5999999996</v>
      </c>
      <c r="R1743" s="282">
        <f>SUM(R1729:R1742)</f>
        <v>25496206.600000001</v>
      </c>
      <c r="S1743" s="286">
        <f>R1743/100*10</f>
        <v>2549620.66</v>
      </c>
      <c r="T1743" s="104">
        <v>99</v>
      </c>
      <c r="U1743" s="304"/>
    </row>
    <row r="1744" spans="1:21" ht="15" customHeight="1" x14ac:dyDescent="0.35">
      <c r="A1744" s="218" t="s">
        <v>4012</v>
      </c>
      <c r="B1744" s="3">
        <v>1632</v>
      </c>
      <c r="C1744" s="44">
        <v>102000862</v>
      </c>
      <c r="D1744" s="18" t="s">
        <v>1952</v>
      </c>
      <c r="E1744" s="19" t="s">
        <v>2219</v>
      </c>
      <c r="F1744" s="12">
        <v>14</v>
      </c>
      <c r="G1744" s="3" t="s">
        <v>0</v>
      </c>
      <c r="H1744" s="39">
        <v>41891</v>
      </c>
      <c r="I1744" s="27" t="s">
        <v>984</v>
      </c>
      <c r="J1744" s="4" t="s">
        <v>1962</v>
      </c>
      <c r="K1744" s="4" t="s">
        <v>988</v>
      </c>
      <c r="L1744" s="29" t="s">
        <v>977</v>
      </c>
      <c r="M1744" s="78">
        <f t="shared" ref="M1744:M1746" si="392">O1744</f>
        <v>2748763.87</v>
      </c>
      <c r="N1744" s="78">
        <f t="shared" ref="N1744:N1746" si="393">O1744/F1744</f>
        <v>196340.28</v>
      </c>
      <c r="O1744" s="78">
        <v>2748763.87</v>
      </c>
      <c r="P1744" s="72">
        <v>4478980</v>
      </c>
      <c r="Q1744" s="256">
        <f>R1744-P1744</f>
        <v>985375.6</v>
      </c>
      <c r="R1744" s="256">
        <f>P1744*1.22</f>
        <v>5464355.5999999996</v>
      </c>
      <c r="S1744" s="289"/>
      <c r="T1744" s="3">
        <v>100</v>
      </c>
      <c r="U1744" s="292" t="s">
        <v>2354</v>
      </c>
    </row>
    <row r="1745" spans="1:21" ht="15" customHeight="1" x14ac:dyDescent="0.35">
      <c r="A1745" s="218" t="s">
        <v>4013</v>
      </c>
      <c r="B1745" s="3">
        <v>1633</v>
      </c>
      <c r="C1745" s="44">
        <v>102001557</v>
      </c>
      <c r="D1745" s="18" t="s">
        <v>1953</v>
      </c>
      <c r="E1745" s="19" t="s">
        <v>2219</v>
      </c>
      <c r="F1745" s="12">
        <v>2</v>
      </c>
      <c r="G1745" s="3" t="s">
        <v>0</v>
      </c>
      <c r="H1745" s="3">
        <v>2015</v>
      </c>
      <c r="I1745" s="27" t="s">
        <v>984</v>
      </c>
      <c r="J1745" s="4" t="s">
        <v>1962</v>
      </c>
      <c r="K1745" s="4" t="s">
        <v>988</v>
      </c>
      <c r="L1745" s="29" t="s">
        <v>977</v>
      </c>
      <c r="M1745" s="78">
        <f t="shared" si="392"/>
        <v>2572375.37</v>
      </c>
      <c r="N1745" s="78">
        <f t="shared" si="393"/>
        <v>1286187.69</v>
      </c>
      <c r="O1745" s="78">
        <v>2572375.37</v>
      </c>
      <c r="P1745" s="72">
        <v>3751480</v>
      </c>
      <c r="Q1745" s="256">
        <f>R1745-P1745</f>
        <v>825325.6</v>
      </c>
      <c r="R1745" s="256">
        <f>P1745*1.22</f>
        <v>4576805.5999999996</v>
      </c>
      <c r="S1745" s="296"/>
      <c r="T1745" s="3">
        <v>100</v>
      </c>
      <c r="U1745" s="294"/>
    </row>
    <row r="1746" spans="1:21" ht="15" customHeight="1" x14ac:dyDescent="0.35">
      <c r="A1746" s="218" t="s">
        <v>4014</v>
      </c>
      <c r="B1746" s="3">
        <v>1634</v>
      </c>
      <c r="C1746" s="44">
        <v>102001571</v>
      </c>
      <c r="D1746" s="18" t="s">
        <v>1954</v>
      </c>
      <c r="E1746" s="19" t="s">
        <v>2219</v>
      </c>
      <c r="F1746" s="12">
        <v>6</v>
      </c>
      <c r="G1746" s="3" t="s">
        <v>0</v>
      </c>
      <c r="H1746" s="3">
        <v>2015</v>
      </c>
      <c r="I1746" s="27" t="s">
        <v>984</v>
      </c>
      <c r="J1746" s="4" t="s">
        <v>1962</v>
      </c>
      <c r="K1746" s="4" t="s">
        <v>988</v>
      </c>
      <c r="L1746" s="29" t="s">
        <v>977</v>
      </c>
      <c r="M1746" s="78">
        <f t="shared" si="392"/>
        <v>7887435.1699999999</v>
      </c>
      <c r="N1746" s="78">
        <f t="shared" si="393"/>
        <v>1314572.53</v>
      </c>
      <c r="O1746" s="78">
        <v>7887435.1699999999</v>
      </c>
      <c r="P1746" s="72">
        <v>11502820</v>
      </c>
      <c r="Q1746" s="256">
        <f>R1746-P1746</f>
        <v>2530620.4</v>
      </c>
      <c r="R1746" s="256">
        <f>P1746*1.22</f>
        <v>14033440.4</v>
      </c>
      <c r="S1746" s="297"/>
      <c r="T1746" s="3">
        <v>100</v>
      </c>
      <c r="U1746" s="294"/>
    </row>
    <row r="1747" spans="1:21" ht="15" customHeight="1" x14ac:dyDescent="0.35">
      <c r="A1747" s="218"/>
      <c r="B1747" s="94"/>
      <c r="C1747" s="65"/>
      <c r="D1747" s="8"/>
      <c r="E1747" s="19"/>
      <c r="F1747" s="92"/>
      <c r="G1747" s="3"/>
      <c r="H1747" s="40"/>
      <c r="I1747" s="27"/>
      <c r="J1747" s="41"/>
      <c r="K1747" s="4"/>
      <c r="L1747" s="29"/>
      <c r="M1747" s="78"/>
      <c r="N1747" s="78"/>
      <c r="O1747" s="108">
        <f>SUM(O1744:O1746)</f>
        <v>13208574.41</v>
      </c>
      <c r="P1747" s="276">
        <f t="shared" ref="P1747:Q1747" si="394">SUM(P1744:P1746)</f>
        <v>19733280</v>
      </c>
      <c r="Q1747" s="282">
        <f t="shared" si="394"/>
        <v>4341321.5999999996</v>
      </c>
      <c r="R1747" s="282">
        <f>SUM(R1744:R1746)</f>
        <v>24074601.600000001</v>
      </c>
      <c r="S1747" s="286">
        <f>R1747/100*10</f>
        <v>2407460.16</v>
      </c>
      <c r="T1747" s="104">
        <v>100</v>
      </c>
      <c r="U1747" s="295"/>
    </row>
    <row r="1748" spans="1:21" ht="15" customHeight="1" x14ac:dyDescent="0.35">
      <c r="A1748" s="218" t="s">
        <v>4023</v>
      </c>
      <c r="B1748" s="3">
        <v>1635</v>
      </c>
      <c r="C1748" s="44">
        <v>10137498</v>
      </c>
      <c r="D1748" s="18" t="s">
        <v>226</v>
      </c>
      <c r="E1748" s="18" t="s">
        <v>2203</v>
      </c>
      <c r="F1748" s="12">
        <v>1</v>
      </c>
      <c r="G1748" s="3" t="s">
        <v>0</v>
      </c>
      <c r="H1748" s="5">
        <v>40859</v>
      </c>
      <c r="I1748" s="5" t="s">
        <v>2144</v>
      </c>
      <c r="J1748" s="4" t="s">
        <v>1962</v>
      </c>
      <c r="K1748" s="5" t="s">
        <v>988</v>
      </c>
      <c r="L1748" s="6" t="s">
        <v>871</v>
      </c>
      <c r="M1748" s="81">
        <f t="shared" si="386"/>
        <v>504480</v>
      </c>
      <c r="N1748" s="81">
        <f t="shared" ref="N1748:N1754" si="395">O1748/F1748</f>
        <v>504480</v>
      </c>
      <c r="O1748" s="81">
        <v>504480</v>
      </c>
      <c r="P1748" s="72">
        <v>507490</v>
      </c>
      <c r="Q1748" s="256">
        <f t="shared" ref="Q1748:Q1754" si="396">R1748-P1748</f>
        <v>111647.8</v>
      </c>
      <c r="R1748" s="256">
        <f t="shared" ref="R1748:R1754" si="397">P1748*1.22</f>
        <v>619137.80000000005</v>
      </c>
      <c r="S1748" s="289"/>
      <c r="T1748" s="3">
        <v>101</v>
      </c>
      <c r="U1748" s="292" t="s">
        <v>2354</v>
      </c>
    </row>
    <row r="1749" spans="1:21" ht="15" customHeight="1" x14ac:dyDescent="0.35">
      <c r="A1749" s="218" t="s">
        <v>4024</v>
      </c>
      <c r="B1749" s="3">
        <v>1636</v>
      </c>
      <c r="C1749" s="44">
        <v>10143847</v>
      </c>
      <c r="D1749" s="18" t="s">
        <v>228</v>
      </c>
      <c r="E1749" s="18" t="s">
        <v>2203</v>
      </c>
      <c r="F1749" s="12">
        <v>1</v>
      </c>
      <c r="G1749" s="3" t="s">
        <v>0</v>
      </c>
      <c r="H1749" s="5">
        <v>41136</v>
      </c>
      <c r="I1749" s="5" t="s">
        <v>2144</v>
      </c>
      <c r="J1749" s="4" t="s">
        <v>1962</v>
      </c>
      <c r="K1749" s="5" t="s">
        <v>988</v>
      </c>
      <c r="L1749" s="6" t="s">
        <v>871</v>
      </c>
      <c r="M1749" s="81">
        <f t="shared" si="386"/>
        <v>6006886</v>
      </c>
      <c r="N1749" s="81">
        <f t="shared" si="395"/>
        <v>6006886</v>
      </c>
      <c r="O1749" s="81">
        <v>6006886</v>
      </c>
      <c r="P1749" s="72">
        <v>6040260</v>
      </c>
      <c r="Q1749" s="256">
        <f t="shared" si="396"/>
        <v>1328857.2</v>
      </c>
      <c r="R1749" s="256">
        <f t="shared" si="397"/>
        <v>7369117.2000000002</v>
      </c>
      <c r="S1749" s="296"/>
      <c r="T1749" s="3">
        <v>101</v>
      </c>
      <c r="U1749" s="294"/>
    </row>
    <row r="1750" spans="1:21" ht="15" customHeight="1" x14ac:dyDescent="0.35">
      <c r="A1750" s="218" t="s">
        <v>4025</v>
      </c>
      <c r="B1750" s="3">
        <v>1637</v>
      </c>
      <c r="C1750" s="44">
        <v>10157885</v>
      </c>
      <c r="D1750" s="18" t="s">
        <v>232</v>
      </c>
      <c r="E1750" s="18" t="s">
        <v>2203</v>
      </c>
      <c r="F1750" s="12">
        <v>1</v>
      </c>
      <c r="G1750" s="3" t="s">
        <v>0</v>
      </c>
      <c r="H1750" s="5">
        <v>41136</v>
      </c>
      <c r="I1750" s="5" t="s">
        <v>2144</v>
      </c>
      <c r="J1750" s="4" t="s">
        <v>1962</v>
      </c>
      <c r="K1750" s="5" t="s">
        <v>988</v>
      </c>
      <c r="L1750" s="6" t="s">
        <v>871</v>
      </c>
      <c r="M1750" s="81">
        <f t="shared" si="386"/>
        <v>6026316</v>
      </c>
      <c r="N1750" s="81">
        <f t="shared" si="395"/>
        <v>6026316</v>
      </c>
      <c r="O1750" s="81">
        <v>6026316</v>
      </c>
      <c r="P1750" s="72">
        <v>6059800</v>
      </c>
      <c r="Q1750" s="256">
        <f t="shared" si="396"/>
        <v>1333156</v>
      </c>
      <c r="R1750" s="256">
        <f t="shared" si="397"/>
        <v>7392956</v>
      </c>
      <c r="S1750" s="296"/>
      <c r="T1750" s="3">
        <v>101</v>
      </c>
      <c r="U1750" s="294"/>
    </row>
    <row r="1751" spans="1:21" ht="15" customHeight="1" x14ac:dyDescent="0.35">
      <c r="A1751" s="218" t="s">
        <v>4026</v>
      </c>
      <c r="B1751" s="3">
        <v>1638</v>
      </c>
      <c r="C1751" s="44">
        <v>10137439</v>
      </c>
      <c r="D1751" s="18" t="s">
        <v>246</v>
      </c>
      <c r="E1751" s="18" t="s">
        <v>2203</v>
      </c>
      <c r="F1751" s="12">
        <f>3-2</f>
        <v>1</v>
      </c>
      <c r="G1751" s="3" t="s">
        <v>0</v>
      </c>
      <c r="H1751" s="5">
        <v>40859</v>
      </c>
      <c r="I1751" s="5" t="s">
        <v>2144</v>
      </c>
      <c r="J1751" s="4" t="s">
        <v>1962</v>
      </c>
      <c r="K1751" s="5" t="s">
        <v>988</v>
      </c>
      <c r="L1751" s="6" t="s">
        <v>871</v>
      </c>
      <c r="M1751" s="81">
        <f t="shared" si="386"/>
        <v>198008</v>
      </c>
      <c r="N1751" s="81">
        <f t="shared" si="395"/>
        <v>198008</v>
      </c>
      <c r="O1751" s="81">
        <f>594024/3*1</f>
        <v>198008</v>
      </c>
      <c r="P1751" s="72">
        <v>199190</v>
      </c>
      <c r="Q1751" s="256">
        <f t="shared" si="396"/>
        <v>43821.8</v>
      </c>
      <c r="R1751" s="256">
        <f t="shared" si="397"/>
        <v>243011.8</v>
      </c>
      <c r="S1751" s="296"/>
      <c r="T1751" s="3">
        <v>101</v>
      </c>
      <c r="U1751" s="294"/>
    </row>
    <row r="1752" spans="1:21" ht="31" customHeight="1" x14ac:dyDescent="0.35">
      <c r="A1752" s="218" t="s">
        <v>4027</v>
      </c>
      <c r="B1752" s="3">
        <v>1639</v>
      </c>
      <c r="C1752" s="44">
        <v>102000258</v>
      </c>
      <c r="D1752" s="18" t="s">
        <v>186</v>
      </c>
      <c r="E1752" s="18" t="s">
        <v>2221</v>
      </c>
      <c r="F1752" s="12">
        <v>1</v>
      </c>
      <c r="G1752" s="3" t="s">
        <v>0</v>
      </c>
      <c r="H1752" s="5">
        <v>41435</v>
      </c>
      <c r="I1752" s="38" t="s">
        <v>985</v>
      </c>
      <c r="J1752" s="4" t="s">
        <v>1962</v>
      </c>
      <c r="K1752" s="6" t="s">
        <v>2025</v>
      </c>
      <c r="L1752" s="6" t="s">
        <v>871</v>
      </c>
      <c r="M1752" s="81">
        <f t="shared" si="386"/>
        <v>146675.12</v>
      </c>
      <c r="N1752" s="81">
        <f t="shared" si="395"/>
        <v>146675.12</v>
      </c>
      <c r="O1752" s="81">
        <v>146675.12</v>
      </c>
      <c r="P1752" s="72">
        <v>145080</v>
      </c>
      <c r="Q1752" s="256">
        <f t="shared" si="396"/>
        <v>31917.599999999999</v>
      </c>
      <c r="R1752" s="256">
        <f t="shared" si="397"/>
        <v>176997.6</v>
      </c>
      <c r="S1752" s="296"/>
      <c r="T1752" s="3">
        <v>101</v>
      </c>
      <c r="U1752" s="294"/>
    </row>
    <row r="1753" spans="1:21" ht="15" customHeight="1" x14ac:dyDescent="0.35">
      <c r="A1753" s="218" t="s">
        <v>4028</v>
      </c>
      <c r="B1753" s="3">
        <v>1640</v>
      </c>
      <c r="C1753" s="44">
        <v>102011674</v>
      </c>
      <c r="D1753" s="18" t="s">
        <v>295</v>
      </c>
      <c r="E1753" s="18" t="s">
        <v>709</v>
      </c>
      <c r="F1753" s="12">
        <v>2</v>
      </c>
      <c r="G1753" s="3" t="s">
        <v>0</v>
      </c>
      <c r="H1753" s="5">
        <v>42454</v>
      </c>
      <c r="I1753" s="38" t="s">
        <v>1003</v>
      </c>
      <c r="J1753" s="4" t="s">
        <v>1962</v>
      </c>
      <c r="K1753" s="49" t="s">
        <v>988</v>
      </c>
      <c r="L1753" s="6" t="s">
        <v>871</v>
      </c>
      <c r="M1753" s="81">
        <f t="shared" si="386"/>
        <v>394890.74</v>
      </c>
      <c r="N1753" s="81">
        <f t="shared" si="395"/>
        <v>197445.37</v>
      </c>
      <c r="O1753" s="81">
        <v>394890.74</v>
      </c>
      <c r="P1753" s="72">
        <v>337170</v>
      </c>
      <c r="Q1753" s="256">
        <f t="shared" si="396"/>
        <v>74177.399999999994</v>
      </c>
      <c r="R1753" s="256">
        <f t="shared" si="397"/>
        <v>411347.4</v>
      </c>
      <c r="S1753" s="296"/>
      <c r="T1753" s="3">
        <v>101</v>
      </c>
      <c r="U1753" s="294"/>
    </row>
    <row r="1754" spans="1:21" ht="15" customHeight="1" x14ac:dyDescent="0.35">
      <c r="A1754" s="218" t="s">
        <v>4029</v>
      </c>
      <c r="B1754" s="3">
        <v>1641</v>
      </c>
      <c r="C1754" s="45">
        <v>102001421</v>
      </c>
      <c r="D1754" s="2" t="s">
        <v>2141</v>
      </c>
      <c r="E1754" s="18" t="s">
        <v>711</v>
      </c>
      <c r="F1754" s="7">
        <v>1</v>
      </c>
      <c r="G1754" s="3" t="s">
        <v>0</v>
      </c>
      <c r="H1754" s="5">
        <v>42004</v>
      </c>
      <c r="I1754" s="30" t="s">
        <v>1003</v>
      </c>
      <c r="J1754" s="4" t="s">
        <v>1962</v>
      </c>
      <c r="K1754" s="4" t="s">
        <v>988</v>
      </c>
      <c r="L1754" s="29" t="s">
        <v>2143</v>
      </c>
      <c r="M1754" s="78">
        <f t="shared" si="386"/>
        <v>68177.97</v>
      </c>
      <c r="N1754" s="78">
        <f t="shared" si="395"/>
        <v>68177.97</v>
      </c>
      <c r="O1754" s="78">
        <v>68177.97</v>
      </c>
      <c r="P1754" s="72">
        <v>63260</v>
      </c>
      <c r="Q1754" s="256">
        <f t="shared" si="396"/>
        <v>13917.2</v>
      </c>
      <c r="R1754" s="256">
        <f t="shared" si="397"/>
        <v>77177.2</v>
      </c>
      <c r="S1754" s="297"/>
      <c r="T1754" s="3">
        <v>101</v>
      </c>
      <c r="U1754" s="294"/>
    </row>
    <row r="1755" spans="1:21" ht="15" customHeight="1" x14ac:dyDescent="0.35">
      <c r="A1755" s="218"/>
      <c r="B1755" s="94"/>
      <c r="C1755" s="44"/>
      <c r="D1755" s="18"/>
      <c r="E1755" s="18"/>
      <c r="F1755" s="12"/>
      <c r="G1755" s="3"/>
      <c r="H1755" s="5"/>
      <c r="I1755" s="27"/>
      <c r="J1755" s="4"/>
      <c r="K1755" s="4"/>
      <c r="L1755" s="5"/>
      <c r="M1755" s="72"/>
      <c r="N1755" s="72"/>
      <c r="O1755" s="82">
        <f>SUM(O1748:O1754)</f>
        <v>13345433.83</v>
      </c>
      <c r="P1755" s="276">
        <f t="shared" ref="P1755:Q1755" si="398">SUM(P1748:P1754)</f>
        <v>13352250</v>
      </c>
      <c r="Q1755" s="282">
        <f t="shared" si="398"/>
        <v>2937495</v>
      </c>
      <c r="R1755" s="282">
        <f>SUM(R1748:R1754)</f>
        <v>16289745</v>
      </c>
      <c r="S1755" s="286">
        <f>R1755/100*10</f>
        <v>1628974.5</v>
      </c>
      <c r="T1755" s="104">
        <v>101</v>
      </c>
      <c r="U1755" s="295"/>
    </row>
    <row r="1756" spans="1:21" ht="15" customHeight="1" x14ac:dyDescent="0.35">
      <c r="A1756" s="218" t="s">
        <v>4030</v>
      </c>
      <c r="B1756" s="3">
        <v>1642</v>
      </c>
      <c r="C1756" s="44">
        <v>102001512</v>
      </c>
      <c r="D1756" s="18" t="s">
        <v>338</v>
      </c>
      <c r="E1756" s="18" t="s">
        <v>2201</v>
      </c>
      <c r="F1756" s="12">
        <v>1</v>
      </c>
      <c r="G1756" s="3" t="s">
        <v>0</v>
      </c>
      <c r="H1756" s="49" t="s">
        <v>2195</v>
      </c>
      <c r="I1756" s="5" t="s">
        <v>999</v>
      </c>
      <c r="J1756" s="4" t="s">
        <v>1962</v>
      </c>
      <c r="K1756" s="5" t="s">
        <v>988</v>
      </c>
      <c r="L1756" s="5" t="s">
        <v>871</v>
      </c>
      <c r="M1756" s="72">
        <f t="shared" si="386"/>
        <v>1212</v>
      </c>
      <c r="N1756" s="72">
        <f t="shared" ref="N1756:N1766" si="399">O1756/F1756</f>
        <v>1212</v>
      </c>
      <c r="O1756" s="72">
        <v>1212</v>
      </c>
      <c r="P1756" s="72">
        <v>1400</v>
      </c>
      <c r="Q1756" s="256">
        <f t="shared" ref="Q1756:Q1766" si="400">R1756-P1756</f>
        <v>308</v>
      </c>
      <c r="R1756" s="256">
        <f t="shared" ref="R1756:R1766" si="401">P1756*1.22</f>
        <v>1708</v>
      </c>
      <c r="S1756" s="289"/>
      <c r="T1756" s="3">
        <v>102</v>
      </c>
      <c r="U1756" s="292" t="s">
        <v>2355</v>
      </c>
    </row>
    <row r="1757" spans="1:21" ht="15" customHeight="1" x14ac:dyDescent="0.35">
      <c r="A1757" s="218" t="s">
        <v>4031</v>
      </c>
      <c r="B1757" s="3">
        <v>1643</v>
      </c>
      <c r="C1757" s="44">
        <v>102002036</v>
      </c>
      <c r="D1757" s="18" t="s">
        <v>340</v>
      </c>
      <c r="E1757" s="18" t="s">
        <v>2197</v>
      </c>
      <c r="F1757" s="12">
        <v>1</v>
      </c>
      <c r="G1757" s="3" t="s">
        <v>0</v>
      </c>
      <c r="H1757" s="49" t="s">
        <v>2195</v>
      </c>
      <c r="I1757" s="5" t="s">
        <v>999</v>
      </c>
      <c r="J1757" s="4" t="s">
        <v>1962</v>
      </c>
      <c r="K1757" s="5" t="s">
        <v>988</v>
      </c>
      <c r="L1757" s="5" t="s">
        <v>871</v>
      </c>
      <c r="M1757" s="72">
        <f t="shared" si="386"/>
        <v>20250</v>
      </c>
      <c r="N1757" s="72">
        <f t="shared" si="399"/>
        <v>20250</v>
      </c>
      <c r="O1757" s="72">
        <v>20250</v>
      </c>
      <c r="P1757" s="72">
        <v>23470</v>
      </c>
      <c r="Q1757" s="256">
        <f t="shared" si="400"/>
        <v>5163.3999999999996</v>
      </c>
      <c r="R1757" s="256">
        <f t="shared" si="401"/>
        <v>28633.4</v>
      </c>
      <c r="S1757" s="296"/>
      <c r="T1757" s="3">
        <v>102</v>
      </c>
      <c r="U1757" s="294"/>
    </row>
    <row r="1758" spans="1:21" ht="15" customHeight="1" x14ac:dyDescent="0.35">
      <c r="A1758" s="218" t="s">
        <v>4032</v>
      </c>
      <c r="B1758" s="3">
        <v>1644</v>
      </c>
      <c r="C1758" s="44">
        <v>102002032</v>
      </c>
      <c r="D1758" s="18" t="s">
        <v>368</v>
      </c>
      <c r="E1758" s="18" t="s">
        <v>2197</v>
      </c>
      <c r="F1758" s="12">
        <v>2</v>
      </c>
      <c r="G1758" s="3" t="s">
        <v>0</v>
      </c>
      <c r="H1758" s="49" t="s">
        <v>2195</v>
      </c>
      <c r="I1758" s="5" t="s">
        <v>999</v>
      </c>
      <c r="J1758" s="4" t="s">
        <v>1962</v>
      </c>
      <c r="K1758" s="5" t="s">
        <v>988</v>
      </c>
      <c r="L1758" s="5" t="s">
        <v>871</v>
      </c>
      <c r="M1758" s="72">
        <f t="shared" si="386"/>
        <v>171617.77</v>
      </c>
      <c r="N1758" s="72">
        <f t="shared" si="399"/>
        <v>85808.89</v>
      </c>
      <c r="O1758" s="72">
        <v>171617.77</v>
      </c>
      <c r="P1758" s="72">
        <v>198900</v>
      </c>
      <c r="Q1758" s="256">
        <f t="shared" si="400"/>
        <v>43758</v>
      </c>
      <c r="R1758" s="256">
        <f t="shared" si="401"/>
        <v>242658</v>
      </c>
      <c r="S1758" s="296"/>
      <c r="T1758" s="3">
        <v>102</v>
      </c>
      <c r="U1758" s="294"/>
    </row>
    <row r="1759" spans="1:21" ht="15" customHeight="1" x14ac:dyDescent="0.35">
      <c r="A1759" s="218" t="s">
        <v>4033</v>
      </c>
      <c r="B1759" s="3">
        <v>1645</v>
      </c>
      <c r="C1759" s="45">
        <v>102000981</v>
      </c>
      <c r="D1759" s="15" t="s">
        <v>703</v>
      </c>
      <c r="E1759" s="18" t="s">
        <v>2236</v>
      </c>
      <c r="F1759" s="12">
        <v>1</v>
      </c>
      <c r="G1759" s="3" t="s">
        <v>0</v>
      </c>
      <c r="H1759" s="5">
        <v>42004</v>
      </c>
      <c r="I1759" s="30" t="s">
        <v>1003</v>
      </c>
      <c r="J1759" s="4" t="s">
        <v>1962</v>
      </c>
      <c r="K1759" s="14" t="s">
        <v>815</v>
      </c>
      <c r="L1759" s="3" t="s">
        <v>871</v>
      </c>
      <c r="M1759" s="72">
        <f t="shared" si="386"/>
        <v>181100</v>
      </c>
      <c r="N1759" s="72">
        <f t="shared" si="399"/>
        <v>181100</v>
      </c>
      <c r="O1759" s="72">
        <v>181100</v>
      </c>
      <c r="P1759" s="72">
        <v>158920</v>
      </c>
      <c r="Q1759" s="256">
        <f t="shared" si="400"/>
        <v>34962.400000000001</v>
      </c>
      <c r="R1759" s="256">
        <f t="shared" si="401"/>
        <v>193882.4</v>
      </c>
      <c r="S1759" s="296"/>
      <c r="T1759" s="3">
        <v>102</v>
      </c>
      <c r="U1759" s="294"/>
    </row>
    <row r="1760" spans="1:21" ht="15" customHeight="1" x14ac:dyDescent="0.35">
      <c r="A1760" s="218" t="s">
        <v>4034</v>
      </c>
      <c r="B1760" s="3">
        <v>1646</v>
      </c>
      <c r="C1760" s="44">
        <v>10016758</v>
      </c>
      <c r="D1760" s="18" t="s">
        <v>1321</v>
      </c>
      <c r="E1760" s="18" t="s">
        <v>2213</v>
      </c>
      <c r="F1760" s="12">
        <v>1</v>
      </c>
      <c r="G1760" s="3" t="s">
        <v>0</v>
      </c>
      <c r="H1760" s="5">
        <v>42004</v>
      </c>
      <c r="I1760" s="5" t="s">
        <v>2209</v>
      </c>
      <c r="J1760" s="4" t="s">
        <v>1962</v>
      </c>
      <c r="K1760" s="49" t="s">
        <v>988</v>
      </c>
      <c r="L1760" s="6" t="s">
        <v>871</v>
      </c>
      <c r="M1760" s="81">
        <f t="shared" si="386"/>
        <v>2406.7800000000002</v>
      </c>
      <c r="N1760" s="81">
        <f t="shared" si="399"/>
        <v>2406.7800000000002</v>
      </c>
      <c r="O1760" s="81">
        <v>2406.7800000000002</v>
      </c>
      <c r="P1760" s="72">
        <v>2110</v>
      </c>
      <c r="Q1760" s="256">
        <f t="shared" si="400"/>
        <v>464.2</v>
      </c>
      <c r="R1760" s="256">
        <f t="shared" si="401"/>
        <v>2574.1999999999998</v>
      </c>
      <c r="S1760" s="296"/>
      <c r="T1760" s="3">
        <v>102</v>
      </c>
      <c r="U1760" s="294"/>
    </row>
    <row r="1761" spans="1:21" ht="15" customHeight="1" x14ac:dyDescent="0.35">
      <c r="A1761" s="218" t="s">
        <v>4035</v>
      </c>
      <c r="B1761" s="3">
        <v>1647</v>
      </c>
      <c r="C1761" s="44">
        <v>10090861</v>
      </c>
      <c r="D1761" s="18" t="s">
        <v>1322</v>
      </c>
      <c r="E1761" s="18" t="s">
        <v>2217</v>
      </c>
      <c r="F1761" s="12">
        <v>1</v>
      </c>
      <c r="G1761" s="3" t="s">
        <v>0</v>
      </c>
      <c r="H1761" s="5">
        <v>42004</v>
      </c>
      <c r="I1761" s="5" t="s">
        <v>2209</v>
      </c>
      <c r="J1761" s="4" t="s">
        <v>1962</v>
      </c>
      <c r="K1761" s="49" t="s">
        <v>988</v>
      </c>
      <c r="L1761" s="6" t="s">
        <v>871</v>
      </c>
      <c r="M1761" s="81">
        <f t="shared" si="386"/>
        <v>3095.45</v>
      </c>
      <c r="N1761" s="81">
        <f t="shared" si="399"/>
        <v>3095.45</v>
      </c>
      <c r="O1761" s="81">
        <v>3095.45</v>
      </c>
      <c r="P1761" s="72">
        <v>2720</v>
      </c>
      <c r="Q1761" s="256">
        <f t="shared" si="400"/>
        <v>598.4</v>
      </c>
      <c r="R1761" s="256">
        <f t="shared" si="401"/>
        <v>3318.4</v>
      </c>
      <c r="S1761" s="296"/>
      <c r="T1761" s="3">
        <v>102</v>
      </c>
      <c r="U1761" s="294"/>
    </row>
    <row r="1762" spans="1:21" ht="15" customHeight="1" x14ac:dyDescent="0.35">
      <c r="A1762" s="218" t="s">
        <v>4036</v>
      </c>
      <c r="B1762" s="3">
        <v>1648</v>
      </c>
      <c r="C1762" s="44">
        <v>10090732</v>
      </c>
      <c r="D1762" s="18" t="s">
        <v>1323</v>
      </c>
      <c r="E1762" s="18" t="s">
        <v>2213</v>
      </c>
      <c r="F1762" s="12">
        <v>2</v>
      </c>
      <c r="G1762" s="3" t="s">
        <v>0</v>
      </c>
      <c r="H1762" s="5">
        <v>42004</v>
      </c>
      <c r="I1762" s="5" t="s">
        <v>2209</v>
      </c>
      <c r="J1762" s="4" t="s">
        <v>1962</v>
      </c>
      <c r="K1762" s="49" t="s">
        <v>988</v>
      </c>
      <c r="L1762" s="6" t="s">
        <v>871</v>
      </c>
      <c r="M1762" s="81">
        <f t="shared" si="386"/>
        <v>4389.84</v>
      </c>
      <c r="N1762" s="81">
        <f t="shared" si="399"/>
        <v>2194.92</v>
      </c>
      <c r="O1762" s="81">
        <v>4389.84</v>
      </c>
      <c r="P1762" s="72">
        <v>3850</v>
      </c>
      <c r="Q1762" s="256">
        <f t="shared" si="400"/>
        <v>847</v>
      </c>
      <c r="R1762" s="256">
        <f t="shared" si="401"/>
        <v>4697</v>
      </c>
      <c r="S1762" s="296"/>
      <c r="T1762" s="3">
        <v>102</v>
      </c>
      <c r="U1762" s="294"/>
    </row>
    <row r="1763" spans="1:21" ht="15" customHeight="1" x14ac:dyDescent="0.35">
      <c r="A1763" s="218" t="s">
        <v>4037</v>
      </c>
      <c r="B1763" s="3">
        <v>1649</v>
      </c>
      <c r="C1763" s="44">
        <v>10090859</v>
      </c>
      <c r="D1763" s="18" t="s">
        <v>1324</v>
      </c>
      <c r="E1763" s="18" t="s">
        <v>2213</v>
      </c>
      <c r="F1763" s="12">
        <v>2</v>
      </c>
      <c r="G1763" s="3" t="s">
        <v>0</v>
      </c>
      <c r="H1763" s="5">
        <v>42004</v>
      </c>
      <c r="I1763" s="5" t="s">
        <v>2209</v>
      </c>
      <c r="J1763" s="4" t="s">
        <v>1962</v>
      </c>
      <c r="K1763" s="49" t="s">
        <v>988</v>
      </c>
      <c r="L1763" s="6" t="s">
        <v>871</v>
      </c>
      <c r="M1763" s="81">
        <f t="shared" si="386"/>
        <v>12100.8</v>
      </c>
      <c r="N1763" s="81">
        <f t="shared" si="399"/>
        <v>6050.4</v>
      </c>
      <c r="O1763" s="81">
        <v>12100.8</v>
      </c>
      <c r="P1763" s="72">
        <v>10620</v>
      </c>
      <c r="Q1763" s="256">
        <f t="shared" si="400"/>
        <v>2336.4</v>
      </c>
      <c r="R1763" s="256">
        <f t="shared" si="401"/>
        <v>12956.4</v>
      </c>
      <c r="S1763" s="296"/>
      <c r="T1763" s="3">
        <v>102</v>
      </c>
      <c r="U1763" s="294"/>
    </row>
    <row r="1764" spans="1:21" ht="15.75" customHeight="1" x14ac:dyDescent="0.35">
      <c r="A1764" s="218" t="s">
        <v>4038</v>
      </c>
      <c r="B1764" s="3">
        <v>1650</v>
      </c>
      <c r="C1764" s="44">
        <v>10090875</v>
      </c>
      <c r="D1764" s="18" t="s">
        <v>1325</v>
      </c>
      <c r="E1764" s="18" t="s">
        <v>2213</v>
      </c>
      <c r="F1764" s="12">
        <v>2</v>
      </c>
      <c r="G1764" s="3" t="s">
        <v>0</v>
      </c>
      <c r="H1764" s="5">
        <v>42004</v>
      </c>
      <c r="I1764" s="5" t="s">
        <v>2209</v>
      </c>
      <c r="J1764" s="4" t="s">
        <v>1962</v>
      </c>
      <c r="K1764" s="49" t="s">
        <v>988</v>
      </c>
      <c r="L1764" s="6" t="s">
        <v>871</v>
      </c>
      <c r="M1764" s="84">
        <f t="shared" si="386"/>
        <v>75251.820000000007</v>
      </c>
      <c r="N1764" s="84">
        <f t="shared" si="399"/>
        <v>37625.910000000003</v>
      </c>
      <c r="O1764" s="81">
        <v>75251.820000000007</v>
      </c>
      <c r="P1764" s="72">
        <v>66030</v>
      </c>
      <c r="Q1764" s="256">
        <f t="shared" si="400"/>
        <v>14526.6</v>
      </c>
      <c r="R1764" s="256">
        <f t="shared" si="401"/>
        <v>80556.600000000006</v>
      </c>
      <c r="S1764" s="296"/>
      <c r="T1764" s="3">
        <v>102</v>
      </c>
      <c r="U1764" s="294"/>
    </row>
    <row r="1765" spans="1:21" ht="19.5" customHeight="1" x14ac:dyDescent="0.35">
      <c r="A1765" s="218" t="s">
        <v>4039</v>
      </c>
      <c r="B1765" s="3">
        <v>1651</v>
      </c>
      <c r="C1765" s="44">
        <v>10090749</v>
      </c>
      <c r="D1765" s="18" t="s">
        <v>1326</v>
      </c>
      <c r="E1765" s="18" t="s">
        <v>2213</v>
      </c>
      <c r="F1765" s="12">
        <v>3</v>
      </c>
      <c r="G1765" s="3" t="s">
        <v>0</v>
      </c>
      <c r="H1765" s="5">
        <v>42004</v>
      </c>
      <c r="I1765" s="5" t="s">
        <v>2209</v>
      </c>
      <c r="J1765" s="4" t="s">
        <v>1962</v>
      </c>
      <c r="K1765" s="49" t="s">
        <v>988</v>
      </c>
      <c r="L1765" s="6" t="s">
        <v>871</v>
      </c>
      <c r="M1765" s="81">
        <f t="shared" si="386"/>
        <v>6860.52</v>
      </c>
      <c r="N1765" s="81">
        <f t="shared" si="399"/>
        <v>2286.84</v>
      </c>
      <c r="O1765" s="81">
        <v>6860.52</v>
      </c>
      <c r="P1765" s="72">
        <v>5990</v>
      </c>
      <c r="Q1765" s="256">
        <f t="shared" si="400"/>
        <v>1317.8</v>
      </c>
      <c r="R1765" s="256">
        <f t="shared" si="401"/>
        <v>7307.8</v>
      </c>
      <c r="S1765" s="296"/>
      <c r="T1765" s="3">
        <v>102</v>
      </c>
      <c r="U1765" s="294"/>
    </row>
    <row r="1766" spans="1:21" ht="15" customHeight="1" x14ac:dyDescent="0.35">
      <c r="A1766" s="218" t="s">
        <v>4040</v>
      </c>
      <c r="B1766" s="3">
        <v>1652</v>
      </c>
      <c r="C1766" s="44">
        <v>10090606</v>
      </c>
      <c r="D1766" s="18" t="s">
        <v>1327</v>
      </c>
      <c r="E1766" s="18" t="s">
        <v>2213</v>
      </c>
      <c r="F1766" s="12">
        <v>8</v>
      </c>
      <c r="G1766" s="3" t="s">
        <v>0</v>
      </c>
      <c r="H1766" s="5">
        <v>42004</v>
      </c>
      <c r="I1766" s="5" t="s">
        <v>2209</v>
      </c>
      <c r="J1766" s="4" t="s">
        <v>1962</v>
      </c>
      <c r="K1766" s="49" t="s">
        <v>988</v>
      </c>
      <c r="L1766" s="6" t="s">
        <v>871</v>
      </c>
      <c r="M1766" s="81">
        <f t="shared" si="386"/>
        <v>166744.64000000001</v>
      </c>
      <c r="N1766" s="81">
        <f t="shared" si="399"/>
        <v>20843.080000000002</v>
      </c>
      <c r="O1766" s="81">
        <v>166744.64000000001</v>
      </c>
      <c r="P1766" s="72">
        <v>145600</v>
      </c>
      <c r="Q1766" s="256">
        <f t="shared" si="400"/>
        <v>32032</v>
      </c>
      <c r="R1766" s="256">
        <f t="shared" si="401"/>
        <v>177632</v>
      </c>
      <c r="S1766" s="297"/>
      <c r="T1766" s="3">
        <v>102</v>
      </c>
      <c r="U1766" s="294"/>
    </row>
    <row r="1767" spans="1:21" ht="15" customHeight="1" x14ac:dyDescent="0.35">
      <c r="A1767" s="218"/>
      <c r="B1767" s="94"/>
      <c r="C1767" s="44"/>
      <c r="D1767" s="18"/>
      <c r="E1767" s="18"/>
      <c r="F1767" s="12"/>
      <c r="G1767" s="3"/>
      <c r="H1767" s="5"/>
      <c r="I1767" s="5"/>
      <c r="J1767" s="4"/>
      <c r="K1767" s="49"/>
      <c r="L1767" s="6"/>
      <c r="M1767" s="81"/>
      <c r="N1767" s="81"/>
      <c r="O1767" s="109">
        <f>SUM(O1756:O1766)</f>
        <v>645029.62</v>
      </c>
      <c r="P1767" s="276">
        <f t="shared" ref="P1767:Q1767" si="402">SUM(P1756:P1766)</f>
        <v>619610</v>
      </c>
      <c r="Q1767" s="282">
        <f t="shared" si="402"/>
        <v>136314.20000000001</v>
      </c>
      <c r="R1767" s="282">
        <f>SUM(R1756:R1766)</f>
        <v>755924.2</v>
      </c>
      <c r="S1767" s="286">
        <f>R1767/100*10</f>
        <v>75592.42</v>
      </c>
      <c r="T1767" s="104">
        <v>102</v>
      </c>
      <c r="U1767" s="295"/>
    </row>
    <row r="1768" spans="1:21" ht="15" customHeight="1" x14ac:dyDescent="0.35">
      <c r="A1768" s="218" t="s">
        <v>4041</v>
      </c>
      <c r="B1768" s="3">
        <v>1653</v>
      </c>
      <c r="C1768" s="44">
        <v>10119221</v>
      </c>
      <c r="D1768" s="18" t="s">
        <v>1675</v>
      </c>
      <c r="E1768" s="18" t="s">
        <v>2027</v>
      </c>
      <c r="F1768" s="12">
        <v>1419</v>
      </c>
      <c r="G1768" s="3" t="s">
        <v>0</v>
      </c>
      <c r="H1768" s="39">
        <v>41375</v>
      </c>
      <c r="I1768" s="27" t="s">
        <v>984</v>
      </c>
      <c r="J1768" s="4" t="s">
        <v>1962</v>
      </c>
      <c r="K1768" s="4" t="s">
        <v>988</v>
      </c>
      <c r="L1768" s="29" t="s">
        <v>977</v>
      </c>
      <c r="M1768" s="78">
        <f t="shared" si="386"/>
        <v>120246.06</v>
      </c>
      <c r="N1768" s="78">
        <f>O1768/F1768</f>
        <v>84.74</v>
      </c>
      <c r="O1768" s="78">
        <v>120246.06</v>
      </c>
      <c r="P1768" s="72">
        <v>147490</v>
      </c>
      <c r="Q1768" s="256">
        <f>R1768-P1768</f>
        <v>32447.8</v>
      </c>
      <c r="R1768" s="256">
        <f>P1768*1.22</f>
        <v>179937.8</v>
      </c>
      <c r="S1768" s="289"/>
      <c r="T1768" s="3">
        <v>103</v>
      </c>
      <c r="U1768" s="292" t="s">
        <v>2356</v>
      </c>
    </row>
    <row r="1769" spans="1:21" ht="15" customHeight="1" x14ac:dyDescent="0.35">
      <c r="A1769" s="218" t="s">
        <v>4042</v>
      </c>
      <c r="B1769" s="3">
        <v>1654</v>
      </c>
      <c r="C1769" s="44">
        <v>10119108</v>
      </c>
      <c r="D1769" s="18" t="s">
        <v>1903</v>
      </c>
      <c r="E1769" s="18" t="s">
        <v>2027</v>
      </c>
      <c r="F1769" s="12">
        <v>4</v>
      </c>
      <c r="G1769" s="3" t="s">
        <v>0</v>
      </c>
      <c r="H1769" s="39">
        <v>41320</v>
      </c>
      <c r="I1769" s="27" t="s">
        <v>984</v>
      </c>
      <c r="J1769" s="4" t="s">
        <v>1962</v>
      </c>
      <c r="K1769" s="4" t="s">
        <v>988</v>
      </c>
      <c r="L1769" s="29" t="s">
        <v>977</v>
      </c>
      <c r="M1769" s="78">
        <f t="shared" si="386"/>
        <v>100805.24</v>
      </c>
      <c r="N1769" s="78">
        <f>O1769/F1769</f>
        <v>25201.31</v>
      </c>
      <c r="O1769" s="78">
        <v>100805.24</v>
      </c>
      <c r="P1769" s="72">
        <v>120730</v>
      </c>
      <c r="Q1769" s="256">
        <f>R1769-P1769</f>
        <v>26560.6</v>
      </c>
      <c r="R1769" s="256">
        <f>P1769*1.22</f>
        <v>147290.6</v>
      </c>
      <c r="S1769" s="297"/>
      <c r="T1769" s="3">
        <v>103</v>
      </c>
      <c r="U1769" s="294"/>
    </row>
    <row r="1770" spans="1:21" ht="15" customHeight="1" x14ac:dyDescent="0.35">
      <c r="A1770" s="218"/>
      <c r="B1770" s="94"/>
      <c r="C1770" s="44"/>
      <c r="D1770" s="18"/>
      <c r="E1770" s="18"/>
      <c r="F1770" s="12"/>
      <c r="G1770" s="3"/>
      <c r="H1770" s="39"/>
      <c r="I1770" s="27"/>
      <c r="J1770" s="4"/>
      <c r="K1770" s="4"/>
      <c r="L1770" s="29"/>
      <c r="M1770" s="78"/>
      <c r="N1770" s="78"/>
      <c r="O1770" s="108">
        <f>SUM(O1768:O1769)</f>
        <v>221051.3</v>
      </c>
      <c r="P1770" s="276">
        <f t="shared" ref="P1770:Q1770" si="403">P1768+P1769</f>
        <v>268220</v>
      </c>
      <c r="Q1770" s="282">
        <f t="shared" si="403"/>
        <v>59008.4</v>
      </c>
      <c r="R1770" s="282">
        <f>R1768+R1769</f>
        <v>327228.40000000002</v>
      </c>
      <c r="S1770" s="286">
        <f>R1770/100*10</f>
        <v>32722.84</v>
      </c>
      <c r="T1770" s="104">
        <v>103</v>
      </c>
      <c r="U1770" s="295"/>
    </row>
    <row r="1771" spans="1:21" ht="15" customHeight="1" x14ac:dyDescent="0.35">
      <c r="A1771" s="235" t="s">
        <v>4043</v>
      </c>
      <c r="B1771" s="3">
        <v>1655</v>
      </c>
      <c r="C1771" s="44">
        <v>10090691</v>
      </c>
      <c r="D1771" s="18" t="s">
        <v>150</v>
      </c>
      <c r="E1771" s="18" t="s">
        <v>2213</v>
      </c>
      <c r="F1771" s="12">
        <v>4</v>
      </c>
      <c r="G1771" s="3" t="s">
        <v>0</v>
      </c>
      <c r="H1771" s="49" t="s">
        <v>2195</v>
      </c>
      <c r="I1771" s="5" t="s">
        <v>2209</v>
      </c>
      <c r="J1771" s="4" t="s">
        <v>1962</v>
      </c>
      <c r="K1771" s="5" t="s">
        <v>988</v>
      </c>
      <c r="L1771" s="29" t="s">
        <v>2143</v>
      </c>
      <c r="M1771" s="78">
        <f t="shared" ref="M1771:M1784" si="404">O1771</f>
        <v>35129.58</v>
      </c>
      <c r="N1771" s="78">
        <f>O1771/F1771</f>
        <v>8782.4</v>
      </c>
      <c r="O1771" s="78">
        <v>35129.58</v>
      </c>
      <c r="P1771" s="72">
        <v>44200</v>
      </c>
      <c r="Q1771" s="256">
        <f>R1771-P1771</f>
        <v>9724</v>
      </c>
      <c r="R1771" s="256">
        <f>P1771*1.22</f>
        <v>53924</v>
      </c>
      <c r="S1771" s="289"/>
      <c r="T1771" s="3">
        <v>104</v>
      </c>
      <c r="U1771" s="292" t="s">
        <v>2356</v>
      </c>
    </row>
    <row r="1772" spans="1:21" ht="66" customHeight="1" x14ac:dyDescent="0.35">
      <c r="A1772" s="218" t="s">
        <v>4044</v>
      </c>
      <c r="B1772" s="3">
        <v>1656</v>
      </c>
      <c r="C1772" s="44">
        <v>10090690</v>
      </c>
      <c r="D1772" s="18" t="s">
        <v>346</v>
      </c>
      <c r="E1772" s="18" t="s">
        <v>2196</v>
      </c>
      <c r="F1772" s="12">
        <v>2</v>
      </c>
      <c r="G1772" s="3" t="s">
        <v>0</v>
      </c>
      <c r="H1772" s="3">
        <v>2014</v>
      </c>
      <c r="I1772" s="5" t="s">
        <v>999</v>
      </c>
      <c r="J1772" s="4" t="s">
        <v>1962</v>
      </c>
      <c r="K1772" s="4" t="s">
        <v>4262</v>
      </c>
      <c r="L1772" s="3" t="s">
        <v>2147</v>
      </c>
      <c r="M1772" s="72">
        <f t="shared" si="404"/>
        <v>15488</v>
      </c>
      <c r="N1772" s="72">
        <f>O1772/F1772</f>
        <v>7744</v>
      </c>
      <c r="O1772" s="72">
        <v>15488</v>
      </c>
      <c r="P1772" s="72">
        <v>23000</v>
      </c>
      <c r="Q1772" s="256">
        <f>R1772-P1772</f>
        <v>5060</v>
      </c>
      <c r="R1772" s="256">
        <f>P1772*1.22</f>
        <v>28060</v>
      </c>
      <c r="S1772" s="297"/>
      <c r="T1772" s="3">
        <v>104</v>
      </c>
      <c r="U1772" s="294"/>
    </row>
    <row r="1773" spans="1:21" ht="15" customHeight="1" x14ac:dyDescent="0.35">
      <c r="A1773" s="218"/>
      <c r="B1773" s="94"/>
      <c r="C1773" s="44"/>
      <c r="D1773" s="18"/>
      <c r="E1773" s="18"/>
      <c r="F1773" s="12"/>
      <c r="G1773" s="3"/>
      <c r="H1773" s="3"/>
      <c r="I1773" s="5"/>
      <c r="J1773" s="4"/>
      <c r="K1773" s="3"/>
      <c r="L1773" s="3"/>
      <c r="M1773" s="72"/>
      <c r="N1773" s="72"/>
      <c r="O1773" s="82">
        <f>SUM(O1771:O1772)</f>
        <v>50617.58</v>
      </c>
      <c r="P1773" s="276">
        <f t="shared" ref="P1773:Q1773" si="405">P1771+P1772</f>
        <v>67200</v>
      </c>
      <c r="Q1773" s="282">
        <f t="shared" si="405"/>
        <v>14784</v>
      </c>
      <c r="R1773" s="282">
        <f>R1771+R1772</f>
        <v>81984</v>
      </c>
      <c r="S1773" s="286">
        <f>R1773/100*10</f>
        <v>8198.4</v>
      </c>
      <c r="T1773" s="104">
        <v>104</v>
      </c>
      <c r="U1773" s="295"/>
    </row>
    <row r="1774" spans="1:21" ht="15" customHeight="1" x14ac:dyDescent="0.35">
      <c r="A1774" s="218" t="s">
        <v>4045</v>
      </c>
      <c r="B1774" s="3">
        <v>1657</v>
      </c>
      <c r="C1774" s="44">
        <v>10096944</v>
      </c>
      <c r="D1774" s="18" t="s">
        <v>1555</v>
      </c>
      <c r="E1774" s="18" t="s">
        <v>2027</v>
      </c>
      <c r="F1774" s="12">
        <v>31</v>
      </c>
      <c r="G1774" s="3" t="s">
        <v>0</v>
      </c>
      <c r="H1774" s="39">
        <v>41484</v>
      </c>
      <c r="I1774" s="27" t="s">
        <v>984</v>
      </c>
      <c r="J1774" s="4" t="s">
        <v>1962</v>
      </c>
      <c r="K1774" s="4" t="s">
        <v>988</v>
      </c>
      <c r="L1774" s="29" t="s">
        <v>977</v>
      </c>
      <c r="M1774" s="78">
        <f t="shared" si="404"/>
        <v>54.89</v>
      </c>
      <c r="N1774" s="78">
        <f>O1774/F1774</f>
        <v>1.77</v>
      </c>
      <c r="O1774" s="78">
        <v>54.89</v>
      </c>
      <c r="P1774" s="72">
        <v>90</v>
      </c>
      <c r="Q1774" s="256">
        <f>R1774-P1774</f>
        <v>19.8</v>
      </c>
      <c r="R1774" s="256">
        <f>P1774*1.22</f>
        <v>109.8</v>
      </c>
      <c r="S1774" s="289"/>
      <c r="T1774" s="3">
        <v>105</v>
      </c>
      <c r="U1774" s="292" t="s">
        <v>2357</v>
      </c>
    </row>
    <row r="1775" spans="1:21" ht="15" customHeight="1" x14ac:dyDescent="0.35">
      <c r="A1775" s="218" t="s">
        <v>4046</v>
      </c>
      <c r="B1775" s="3">
        <v>1658</v>
      </c>
      <c r="C1775" s="44">
        <v>10030872</v>
      </c>
      <c r="D1775" s="18" t="s">
        <v>1664</v>
      </c>
      <c r="E1775" s="18" t="s">
        <v>2027</v>
      </c>
      <c r="F1775" s="12">
        <v>20</v>
      </c>
      <c r="G1775" s="3" t="s">
        <v>0</v>
      </c>
      <c r="H1775" s="39">
        <v>41431</v>
      </c>
      <c r="I1775" s="27" t="s">
        <v>984</v>
      </c>
      <c r="J1775" s="4" t="s">
        <v>1962</v>
      </c>
      <c r="K1775" s="4" t="s">
        <v>988</v>
      </c>
      <c r="L1775" s="29" t="s">
        <v>977</v>
      </c>
      <c r="M1775" s="78">
        <f t="shared" si="404"/>
        <v>2062.33</v>
      </c>
      <c r="N1775" s="78">
        <f>O1775/F1775</f>
        <v>103.12</v>
      </c>
      <c r="O1775" s="78">
        <v>2062.33</v>
      </c>
      <c r="P1775" s="72">
        <v>3240</v>
      </c>
      <c r="Q1775" s="256">
        <f>R1775-P1775</f>
        <v>712.8</v>
      </c>
      <c r="R1775" s="256">
        <f>P1775*1.22</f>
        <v>3952.8</v>
      </c>
      <c r="S1775" s="296"/>
      <c r="T1775" s="3">
        <v>105</v>
      </c>
      <c r="U1775" s="293"/>
    </row>
    <row r="1776" spans="1:21" ht="15" customHeight="1" x14ac:dyDescent="0.35">
      <c r="A1776" s="218" t="s">
        <v>4047</v>
      </c>
      <c r="B1776" s="3">
        <v>1659</v>
      </c>
      <c r="C1776" s="65">
        <v>10144692</v>
      </c>
      <c r="D1776" s="8" t="s">
        <v>1402</v>
      </c>
      <c r="E1776" s="19" t="s">
        <v>2219</v>
      </c>
      <c r="F1776" s="92">
        <v>4</v>
      </c>
      <c r="G1776" s="3" t="s">
        <v>0</v>
      </c>
      <c r="H1776" s="40">
        <v>41456</v>
      </c>
      <c r="I1776" s="27" t="s">
        <v>984</v>
      </c>
      <c r="J1776" s="4" t="s">
        <v>1962</v>
      </c>
      <c r="K1776" s="4" t="s">
        <v>988</v>
      </c>
      <c r="L1776" s="29" t="s">
        <v>977</v>
      </c>
      <c r="M1776" s="78">
        <f t="shared" si="404"/>
        <v>50265.84</v>
      </c>
      <c r="N1776" s="78">
        <f>O1776/F1776</f>
        <v>12566.46</v>
      </c>
      <c r="O1776" s="78">
        <v>50265.84</v>
      </c>
      <c r="P1776" s="72">
        <v>72820</v>
      </c>
      <c r="Q1776" s="256">
        <f>R1776-P1776</f>
        <v>16020.4</v>
      </c>
      <c r="R1776" s="256">
        <f>P1776*1.22</f>
        <v>88840.4</v>
      </c>
      <c r="S1776" s="297"/>
      <c r="T1776" s="3">
        <v>105</v>
      </c>
      <c r="U1776" s="293"/>
    </row>
    <row r="1777" spans="1:21" ht="15" customHeight="1" x14ac:dyDescent="0.35">
      <c r="A1777" s="218"/>
      <c r="B1777" s="94"/>
      <c r="C1777" s="65"/>
      <c r="D1777" s="8"/>
      <c r="E1777" s="19"/>
      <c r="F1777" s="92"/>
      <c r="G1777" s="3"/>
      <c r="H1777" s="40"/>
      <c r="I1777" s="27"/>
      <c r="J1777" s="4"/>
      <c r="K1777" s="4"/>
      <c r="L1777" s="29"/>
      <c r="M1777" s="78"/>
      <c r="N1777" s="78"/>
      <c r="O1777" s="108">
        <f>SUM(O1774:O1776)</f>
        <v>52383.06</v>
      </c>
      <c r="P1777" s="276">
        <f t="shared" ref="P1777:Q1777" si="406">SUM(P1774:P1776)</f>
        <v>76150</v>
      </c>
      <c r="Q1777" s="282">
        <f t="shared" si="406"/>
        <v>16753</v>
      </c>
      <c r="R1777" s="282">
        <f>SUM(R1774:R1776)</f>
        <v>92903</v>
      </c>
      <c r="S1777" s="286">
        <f>R1777/100*10</f>
        <v>9290.2999999999993</v>
      </c>
      <c r="T1777" s="104">
        <v>105</v>
      </c>
      <c r="U1777" s="304"/>
    </row>
    <row r="1778" spans="1:21" ht="15" customHeight="1" x14ac:dyDescent="0.35">
      <c r="A1778" s="218" t="s">
        <v>4048</v>
      </c>
      <c r="B1778" s="3">
        <v>1660</v>
      </c>
      <c r="C1778" s="44">
        <v>10021444</v>
      </c>
      <c r="D1778" s="18" t="s">
        <v>383</v>
      </c>
      <c r="E1778" s="18" t="s">
        <v>2201</v>
      </c>
      <c r="F1778" s="12">
        <v>6</v>
      </c>
      <c r="G1778" s="3" t="s">
        <v>0</v>
      </c>
      <c r="H1778" s="5">
        <v>42824</v>
      </c>
      <c r="I1778" s="5" t="s">
        <v>999</v>
      </c>
      <c r="J1778" s="4" t="s">
        <v>1962</v>
      </c>
      <c r="K1778" s="5" t="s">
        <v>988</v>
      </c>
      <c r="L1778" s="5" t="s">
        <v>871</v>
      </c>
      <c r="M1778" s="72">
        <f t="shared" si="404"/>
        <v>3690.48</v>
      </c>
      <c r="N1778" s="72">
        <f t="shared" ref="N1778:N1784" si="407">O1778/F1778</f>
        <v>615.08000000000004</v>
      </c>
      <c r="O1778" s="72">
        <v>3690.48</v>
      </c>
      <c r="P1778" s="72">
        <v>2600</v>
      </c>
      <c r="Q1778" s="256">
        <f t="shared" ref="Q1778:Q1784" si="408">R1778-P1778</f>
        <v>572</v>
      </c>
      <c r="R1778" s="256">
        <f t="shared" ref="R1778:R1784" si="409">P1778*1.22</f>
        <v>3172</v>
      </c>
      <c r="S1778" s="289"/>
      <c r="T1778" s="3">
        <v>106</v>
      </c>
      <c r="U1778" s="292" t="s">
        <v>2357</v>
      </c>
    </row>
    <row r="1779" spans="1:21" ht="15" customHeight="1" x14ac:dyDescent="0.35">
      <c r="A1779" s="218" t="s">
        <v>4049</v>
      </c>
      <c r="B1779" s="3">
        <v>1661</v>
      </c>
      <c r="C1779" s="45">
        <v>10140197</v>
      </c>
      <c r="D1779" s="2" t="s">
        <v>664</v>
      </c>
      <c r="E1779" s="18" t="s">
        <v>709</v>
      </c>
      <c r="F1779" s="7">
        <v>2</v>
      </c>
      <c r="G1779" s="3" t="s">
        <v>0</v>
      </c>
      <c r="H1779" s="5">
        <v>42004</v>
      </c>
      <c r="I1779" s="30" t="s">
        <v>1003</v>
      </c>
      <c r="J1779" s="4" t="s">
        <v>1962</v>
      </c>
      <c r="K1779" s="14" t="s">
        <v>718</v>
      </c>
      <c r="L1779" s="3" t="s">
        <v>871</v>
      </c>
      <c r="M1779" s="72">
        <f t="shared" si="404"/>
        <v>15256</v>
      </c>
      <c r="N1779" s="72">
        <f t="shared" si="407"/>
        <v>7628</v>
      </c>
      <c r="O1779" s="72">
        <v>15256</v>
      </c>
      <c r="P1779" s="72">
        <v>13160</v>
      </c>
      <c r="Q1779" s="256">
        <f t="shared" si="408"/>
        <v>2895.2</v>
      </c>
      <c r="R1779" s="256">
        <f t="shared" si="409"/>
        <v>16055.2</v>
      </c>
      <c r="S1779" s="296"/>
      <c r="T1779" s="3">
        <v>106</v>
      </c>
      <c r="U1779" s="294"/>
    </row>
    <row r="1780" spans="1:21" ht="15" customHeight="1" x14ac:dyDescent="0.35">
      <c r="A1780" s="218" t="s">
        <v>4050</v>
      </c>
      <c r="B1780" s="3">
        <v>1662</v>
      </c>
      <c r="C1780" s="45">
        <v>10103096</v>
      </c>
      <c r="D1780" s="2" t="s">
        <v>578</v>
      </c>
      <c r="E1780" s="18" t="s">
        <v>711</v>
      </c>
      <c r="F1780" s="7">
        <v>2</v>
      </c>
      <c r="G1780" s="3" t="s">
        <v>0</v>
      </c>
      <c r="H1780" s="5">
        <v>42004</v>
      </c>
      <c r="I1780" s="30" t="s">
        <v>1003</v>
      </c>
      <c r="J1780" s="4" t="s">
        <v>1962</v>
      </c>
      <c r="K1780" s="14" t="s">
        <v>824</v>
      </c>
      <c r="L1780" s="3" t="s">
        <v>871</v>
      </c>
      <c r="M1780" s="72">
        <f t="shared" si="404"/>
        <v>610.6</v>
      </c>
      <c r="N1780" s="72">
        <f t="shared" si="407"/>
        <v>305.3</v>
      </c>
      <c r="O1780" s="72">
        <v>610.6</v>
      </c>
      <c r="P1780" s="72">
        <v>530</v>
      </c>
      <c r="Q1780" s="256">
        <f t="shared" si="408"/>
        <v>116.6</v>
      </c>
      <c r="R1780" s="256">
        <f t="shared" si="409"/>
        <v>646.6</v>
      </c>
      <c r="S1780" s="296"/>
      <c r="T1780" s="3">
        <v>106</v>
      </c>
      <c r="U1780" s="294"/>
    </row>
    <row r="1781" spans="1:21" ht="15" customHeight="1" x14ac:dyDescent="0.35">
      <c r="A1781" s="218" t="s">
        <v>4051</v>
      </c>
      <c r="B1781" s="3">
        <v>1663</v>
      </c>
      <c r="C1781" s="44">
        <v>10091903</v>
      </c>
      <c r="D1781" s="18" t="s">
        <v>1286</v>
      </c>
      <c r="E1781" s="18" t="s">
        <v>2213</v>
      </c>
      <c r="F1781" s="12">
        <v>2</v>
      </c>
      <c r="G1781" s="3" t="s">
        <v>0</v>
      </c>
      <c r="H1781" s="5">
        <v>42569</v>
      </c>
      <c r="I1781" s="5" t="s">
        <v>2209</v>
      </c>
      <c r="J1781" s="4" t="s">
        <v>1962</v>
      </c>
      <c r="K1781" s="62" t="s">
        <v>1333</v>
      </c>
      <c r="L1781" s="6" t="s">
        <v>871</v>
      </c>
      <c r="M1781" s="81">
        <f t="shared" si="404"/>
        <v>11615.56</v>
      </c>
      <c r="N1781" s="81">
        <f t="shared" si="407"/>
        <v>5807.78</v>
      </c>
      <c r="O1781" s="81">
        <v>11615.56</v>
      </c>
      <c r="P1781" s="72">
        <v>7510</v>
      </c>
      <c r="Q1781" s="256">
        <f t="shared" si="408"/>
        <v>1652.2</v>
      </c>
      <c r="R1781" s="256">
        <f t="shared" si="409"/>
        <v>9162.2000000000007</v>
      </c>
      <c r="S1781" s="296"/>
      <c r="T1781" s="3">
        <v>106</v>
      </c>
      <c r="U1781" s="294"/>
    </row>
    <row r="1782" spans="1:21" ht="15" customHeight="1" x14ac:dyDescent="0.35">
      <c r="A1782" s="218" t="s">
        <v>4052</v>
      </c>
      <c r="B1782" s="3">
        <v>1664</v>
      </c>
      <c r="C1782" s="18">
        <v>102029224</v>
      </c>
      <c r="D1782" s="18" t="s">
        <v>2151</v>
      </c>
      <c r="E1782" s="18" t="s">
        <v>2197</v>
      </c>
      <c r="F1782" s="12">
        <v>40</v>
      </c>
      <c r="G1782" s="3" t="s">
        <v>0</v>
      </c>
      <c r="H1782" s="3">
        <v>2008</v>
      </c>
      <c r="I1782" s="13" t="s">
        <v>999</v>
      </c>
      <c r="J1782" s="4" t="s">
        <v>1962</v>
      </c>
      <c r="K1782" s="4" t="s">
        <v>988</v>
      </c>
      <c r="L1782" s="5" t="s">
        <v>871</v>
      </c>
      <c r="M1782" s="72">
        <f t="shared" si="404"/>
        <v>2228</v>
      </c>
      <c r="N1782" s="72">
        <f t="shared" si="407"/>
        <v>55.7</v>
      </c>
      <c r="O1782" s="72">
        <v>2228</v>
      </c>
      <c r="P1782" s="72">
        <v>2910</v>
      </c>
      <c r="Q1782" s="256">
        <f t="shared" si="408"/>
        <v>640.20000000000005</v>
      </c>
      <c r="R1782" s="256">
        <f t="shared" si="409"/>
        <v>3550.2</v>
      </c>
      <c r="S1782" s="296"/>
      <c r="T1782" s="3">
        <v>106</v>
      </c>
      <c r="U1782" s="294"/>
    </row>
    <row r="1783" spans="1:21" ht="15" customHeight="1" x14ac:dyDescent="0.35">
      <c r="A1783" s="218" t="s">
        <v>4053</v>
      </c>
      <c r="B1783" s="3">
        <v>1665</v>
      </c>
      <c r="C1783" s="18">
        <v>102029234</v>
      </c>
      <c r="D1783" s="18" t="s">
        <v>2167</v>
      </c>
      <c r="E1783" s="18" t="s">
        <v>2197</v>
      </c>
      <c r="F1783" s="12">
        <v>20</v>
      </c>
      <c r="G1783" s="3" t="s">
        <v>0</v>
      </c>
      <c r="H1783" s="3">
        <v>2007</v>
      </c>
      <c r="I1783" s="13" t="s">
        <v>999</v>
      </c>
      <c r="J1783" s="4" t="s">
        <v>1962</v>
      </c>
      <c r="K1783" s="4" t="s">
        <v>988</v>
      </c>
      <c r="L1783" s="5" t="s">
        <v>871</v>
      </c>
      <c r="M1783" s="72">
        <f t="shared" si="404"/>
        <v>5986</v>
      </c>
      <c r="N1783" s="72">
        <f t="shared" si="407"/>
        <v>299.3</v>
      </c>
      <c r="O1783" s="72">
        <v>5986</v>
      </c>
      <c r="P1783" s="72">
        <v>5350</v>
      </c>
      <c r="Q1783" s="256">
        <f t="shared" si="408"/>
        <v>1177</v>
      </c>
      <c r="R1783" s="256">
        <f t="shared" si="409"/>
        <v>6527</v>
      </c>
      <c r="S1783" s="296"/>
      <c r="T1783" s="3">
        <v>106</v>
      </c>
      <c r="U1783" s="294"/>
    </row>
    <row r="1784" spans="1:21" ht="15" customHeight="1" x14ac:dyDescent="0.35">
      <c r="A1784" s="218" t="s">
        <v>4054</v>
      </c>
      <c r="B1784" s="3">
        <v>1666</v>
      </c>
      <c r="C1784" s="44">
        <v>10014067</v>
      </c>
      <c r="D1784" s="18" t="s">
        <v>37</v>
      </c>
      <c r="E1784" s="18" t="s">
        <v>2027</v>
      </c>
      <c r="F1784" s="12">
        <v>2</v>
      </c>
      <c r="G1784" s="3" t="s">
        <v>0</v>
      </c>
      <c r="H1784" s="49">
        <v>2014</v>
      </c>
      <c r="I1784" s="27" t="s">
        <v>984</v>
      </c>
      <c r="J1784" s="5" t="s">
        <v>1962</v>
      </c>
      <c r="K1784" s="49" t="s">
        <v>2067</v>
      </c>
      <c r="L1784" s="5" t="s">
        <v>2147</v>
      </c>
      <c r="M1784" s="72">
        <f t="shared" si="404"/>
        <v>298</v>
      </c>
      <c r="N1784" s="72">
        <f t="shared" si="407"/>
        <v>149</v>
      </c>
      <c r="O1784" s="72">
        <v>298</v>
      </c>
      <c r="P1784" s="72">
        <v>270</v>
      </c>
      <c r="Q1784" s="256">
        <f t="shared" si="408"/>
        <v>59.4</v>
      </c>
      <c r="R1784" s="256">
        <f t="shared" si="409"/>
        <v>329.4</v>
      </c>
      <c r="S1784" s="297"/>
      <c r="T1784" s="3">
        <v>106</v>
      </c>
      <c r="U1784" s="294"/>
    </row>
    <row r="1785" spans="1:21" ht="15" customHeight="1" x14ac:dyDescent="0.35">
      <c r="A1785" s="218"/>
      <c r="B1785" s="94"/>
      <c r="C1785" s="44"/>
      <c r="D1785" s="18"/>
      <c r="E1785" s="18"/>
      <c r="F1785" s="12"/>
      <c r="G1785" s="3"/>
      <c r="H1785" s="49"/>
      <c r="I1785" s="27"/>
      <c r="J1785" s="5"/>
      <c r="K1785" s="49"/>
      <c r="L1785" s="5"/>
      <c r="M1785" s="72"/>
      <c r="N1785" s="72"/>
      <c r="O1785" s="82">
        <f>SUM(O1778:O1784)</f>
        <v>39684.639999999999</v>
      </c>
      <c r="P1785" s="276">
        <f t="shared" ref="P1785:Q1785" si="410">SUM(P1778:P1784)</f>
        <v>32330</v>
      </c>
      <c r="Q1785" s="282">
        <f t="shared" si="410"/>
        <v>7112.6</v>
      </c>
      <c r="R1785" s="282">
        <f>SUM(R1778:R1784)</f>
        <v>39442.6</v>
      </c>
      <c r="S1785" s="286">
        <f>R1785/100*10</f>
        <v>3944.26</v>
      </c>
      <c r="T1785" s="104">
        <v>106</v>
      </c>
      <c r="U1785" s="295"/>
    </row>
    <row r="1786" spans="1:21" ht="15" customHeight="1" x14ac:dyDescent="0.35">
      <c r="A1786" s="218" t="s">
        <v>4063</v>
      </c>
      <c r="B1786" s="116">
        <v>1667</v>
      </c>
      <c r="C1786" s="127">
        <v>10019248</v>
      </c>
      <c r="D1786" s="118" t="s">
        <v>4055</v>
      </c>
      <c r="E1786" s="117" t="s">
        <v>2208</v>
      </c>
      <c r="F1786" s="12">
        <v>1</v>
      </c>
      <c r="G1786" s="3" t="s">
        <v>0</v>
      </c>
      <c r="H1786" s="124">
        <v>39678</v>
      </c>
      <c r="I1786" s="116" t="s">
        <v>2144</v>
      </c>
      <c r="J1786" s="4" t="s">
        <v>4078</v>
      </c>
      <c r="K1786" s="4" t="s">
        <v>988</v>
      </c>
      <c r="L1786" s="5" t="s">
        <v>871</v>
      </c>
      <c r="M1786" s="122">
        <f>O1786</f>
        <v>1566.97</v>
      </c>
      <c r="N1786" s="122">
        <v>1566.97</v>
      </c>
      <c r="O1786" s="88">
        <v>1566.97</v>
      </c>
      <c r="P1786" s="72">
        <v>800</v>
      </c>
      <c r="Q1786" s="256">
        <f t="shared" ref="Q1786:Q1796" si="411">R1786-P1786</f>
        <v>176</v>
      </c>
      <c r="R1786" s="256">
        <f t="shared" ref="R1786:R1796" si="412">P1786*1.22</f>
        <v>976</v>
      </c>
      <c r="S1786" s="289"/>
      <c r="T1786" s="116">
        <v>107</v>
      </c>
      <c r="U1786" s="305" t="s">
        <v>4074</v>
      </c>
    </row>
    <row r="1787" spans="1:21" ht="15" customHeight="1" x14ac:dyDescent="0.35">
      <c r="A1787" s="218" t="s">
        <v>4064</v>
      </c>
      <c r="B1787" s="116">
        <v>1668</v>
      </c>
      <c r="C1787" s="18">
        <v>10145214</v>
      </c>
      <c r="D1787" s="13" t="s">
        <v>4056</v>
      </c>
      <c r="E1787" s="18" t="s">
        <v>2206</v>
      </c>
      <c r="F1787" s="12">
        <v>1</v>
      </c>
      <c r="G1787" s="3" t="s">
        <v>0</v>
      </c>
      <c r="H1787" s="124">
        <v>42004</v>
      </c>
      <c r="I1787" s="116" t="s">
        <v>2144</v>
      </c>
      <c r="J1787" s="4" t="s">
        <v>4079</v>
      </c>
      <c r="K1787" s="4" t="s">
        <v>988</v>
      </c>
      <c r="L1787" s="5" t="s">
        <v>871</v>
      </c>
      <c r="M1787" s="122">
        <f>O1787</f>
        <v>22300</v>
      </c>
      <c r="N1787" s="72">
        <v>22300</v>
      </c>
      <c r="O1787" s="72">
        <v>22300</v>
      </c>
      <c r="P1787" s="72">
        <v>12460</v>
      </c>
      <c r="Q1787" s="256">
        <f t="shared" si="411"/>
        <v>2741.2</v>
      </c>
      <c r="R1787" s="256">
        <f t="shared" si="412"/>
        <v>15201.2</v>
      </c>
      <c r="S1787" s="296"/>
      <c r="T1787" s="116">
        <v>107</v>
      </c>
      <c r="U1787" s="305"/>
    </row>
    <row r="1788" spans="1:21" ht="15" customHeight="1" x14ac:dyDescent="0.35">
      <c r="A1788" s="218" t="s">
        <v>4065</v>
      </c>
      <c r="B1788" s="116">
        <v>1669</v>
      </c>
      <c r="C1788" s="18">
        <v>10145236</v>
      </c>
      <c r="D1788" s="13" t="s">
        <v>279</v>
      </c>
      <c r="E1788" s="18" t="s">
        <v>2206</v>
      </c>
      <c r="F1788" s="12">
        <v>1</v>
      </c>
      <c r="G1788" s="3" t="s">
        <v>0</v>
      </c>
      <c r="H1788" s="124">
        <v>42004</v>
      </c>
      <c r="I1788" s="5" t="s">
        <v>2144</v>
      </c>
      <c r="J1788" s="4" t="s">
        <v>4079</v>
      </c>
      <c r="K1788" s="4" t="s">
        <v>988</v>
      </c>
      <c r="L1788" s="5" t="s">
        <v>871</v>
      </c>
      <c r="M1788" s="122">
        <f>O1788</f>
        <v>76100</v>
      </c>
      <c r="N1788" s="72">
        <v>76100</v>
      </c>
      <c r="O1788" s="72">
        <v>76100</v>
      </c>
      <c r="P1788" s="72">
        <v>42510</v>
      </c>
      <c r="Q1788" s="256">
        <f t="shared" si="411"/>
        <v>9352.2000000000007</v>
      </c>
      <c r="R1788" s="256">
        <f t="shared" si="412"/>
        <v>51862.2</v>
      </c>
      <c r="S1788" s="296"/>
      <c r="T1788" s="116">
        <v>107</v>
      </c>
      <c r="U1788" s="305"/>
    </row>
    <row r="1789" spans="1:21" ht="15" customHeight="1" x14ac:dyDescent="0.35">
      <c r="A1789" s="218" t="s">
        <v>4066</v>
      </c>
      <c r="B1789" s="116">
        <v>1670</v>
      </c>
      <c r="C1789" s="18">
        <v>10145245</v>
      </c>
      <c r="D1789" s="13" t="s">
        <v>4057</v>
      </c>
      <c r="E1789" s="18" t="s">
        <v>2206</v>
      </c>
      <c r="F1789" s="12">
        <v>1</v>
      </c>
      <c r="G1789" s="3" t="s">
        <v>0</v>
      </c>
      <c r="H1789" s="124">
        <v>42004</v>
      </c>
      <c r="I1789" s="5" t="s">
        <v>2144</v>
      </c>
      <c r="J1789" s="4" t="s">
        <v>4079</v>
      </c>
      <c r="K1789" s="4" t="s">
        <v>988</v>
      </c>
      <c r="L1789" s="5" t="s">
        <v>871</v>
      </c>
      <c r="M1789" s="72">
        <v>157200</v>
      </c>
      <c r="N1789" s="72">
        <v>157200</v>
      </c>
      <c r="O1789" s="72">
        <v>157200</v>
      </c>
      <c r="P1789" s="72">
        <v>104770</v>
      </c>
      <c r="Q1789" s="256">
        <f t="shared" si="411"/>
        <v>23049.4</v>
      </c>
      <c r="R1789" s="256">
        <f t="shared" si="412"/>
        <v>127819.4</v>
      </c>
      <c r="S1789" s="296"/>
      <c r="T1789" s="116">
        <v>107</v>
      </c>
      <c r="U1789" s="305"/>
    </row>
    <row r="1790" spans="1:21" ht="15" customHeight="1" x14ac:dyDescent="0.35">
      <c r="A1790" s="218" t="s">
        <v>4067</v>
      </c>
      <c r="B1790" s="116">
        <v>1671</v>
      </c>
      <c r="C1790" s="18">
        <v>10145249</v>
      </c>
      <c r="D1790" s="13" t="s">
        <v>4058</v>
      </c>
      <c r="E1790" s="18" t="s">
        <v>2206</v>
      </c>
      <c r="F1790" s="12">
        <v>2</v>
      </c>
      <c r="G1790" s="3" t="s">
        <v>0</v>
      </c>
      <c r="H1790" s="124">
        <v>42004</v>
      </c>
      <c r="I1790" s="5" t="s">
        <v>2144</v>
      </c>
      <c r="J1790" s="4" t="s">
        <v>4079</v>
      </c>
      <c r="K1790" s="4" t="s">
        <v>988</v>
      </c>
      <c r="L1790" s="5" t="s">
        <v>871</v>
      </c>
      <c r="M1790" s="72">
        <v>37200</v>
      </c>
      <c r="N1790" s="72">
        <v>37200</v>
      </c>
      <c r="O1790" s="72">
        <v>37200</v>
      </c>
      <c r="P1790" s="72">
        <v>24790</v>
      </c>
      <c r="Q1790" s="256">
        <f t="shared" si="411"/>
        <v>5453.8</v>
      </c>
      <c r="R1790" s="256">
        <f t="shared" si="412"/>
        <v>30243.8</v>
      </c>
      <c r="S1790" s="296"/>
      <c r="T1790" s="116">
        <v>107</v>
      </c>
      <c r="U1790" s="305"/>
    </row>
    <row r="1791" spans="1:21" ht="15" customHeight="1" x14ac:dyDescent="0.35">
      <c r="A1791" s="218" t="s">
        <v>4068</v>
      </c>
      <c r="B1791" s="116">
        <v>1672</v>
      </c>
      <c r="C1791" s="18">
        <v>10145254</v>
      </c>
      <c r="D1791" s="13" t="s">
        <v>4059</v>
      </c>
      <c r="E1791" s="18" t="s">
        <v>2206</v>
      </c>
      <c r="F1791" s="12">
        <v>1</v>
      </c>
      <c r="G1791" s="3" t="s">
        <v>0</v>
      </c>
      <c r="H1791" s="124">
        <v>42004</v>
      </c>
      <c r="I1791" s="5" t="s">
        <v>2144</v>
      </c>
      <c r="J1791" s="4" t="s">
        <v>4079</v>
      </c>
      <c r="K1791" s="4" t="s">
        <v>988</v>
      </c>
      <c r="L1791" s="5" t="s">
        <v>871</v>
      </c>
      <c r="M1791" s="72">
        <v>54850</v>
      </c>
      <c r="N1791" s="72">
        <v>54850</v>
      </c>
      <c r="O1791" s="72">
        <v>54850</v>
      </c>
      <c r="P1791" s="72">
        <v>30640</v>
      </c>
      <c r="Q1791" s="256">
        <f t="shared" si="411"/>
        <v>6740.8</v>
      </c>
      <c r="R1791" s="256">
        <f t="shared" si="412"/>
        <v>37380.800000000003</v>
      </c>
      <c r="S1791" s="296"/>
      <c r="T1791" s="116">
        <v>107</v>
      </c>
      <c r="U1791" s="305"/>
    </row>
    <row r="1792" spans="1:21" ht="15" customHeight="1" x14ac:dyDescent="0.35">
      <c r="A1792" s="218" t="s">
        <v>4069</v>
      </c>
      <c r="B1792" s="116">
        <v>1673</v>
      </c>
      <c r="C1792" s="144">
        <v>10002896</v>
      </c>
      <c r="D1792" s="129" t="s">
        <v>259</v>
      </c>
      <c r="E1792" s="118" t="s">
        <v>4075</v>
      </c>
      <c r="F1792" s="12">
        <v>1</v>
      </c>
      <c r="G1792" s="3" t="s">
        <v>0</v>
      </c>
      <c r="H1792" s="125">
        <v>42004</v>
      </c>
      <c r="I1792" s="5" t="s">
        <v>1003</v>
      </c>
      <c r="J1792" s="4" t="s">
        <v>4080</v>
      </c>
      <c r="K1792" s="128" t="s">
        <v>4076</v>
      </c>
      <c r="L1792" s="5" t="s">
        <v>871</v>
      </c>
      <c r="M1792" s="123">
        <v>4097.88</v>
      </c>
      <c r="N1792" s="123">
        <v>4097.88</v>
      </c>
      <c r="O1792" s="135">
        <v>4097.88</v>
      </c>
      <c r="P1792" s="72">
        <v>2050</v>
      </c>
      <c r="Q1792" s="256">
        <f t="shared" si="411"/>
        <v>451</v>
      </c>
      <c r="R1792" s="256">
        <f t="shared" si="412"/>
        <v>2501</v>
      </c>
      <c r="S1792" s="296"/>
      <c r="T1792" s="116">
        <v>107</v>
      </c>
      <c r="U1792" s="305"/>
    </row>
    <row r="1793" spans="1:21" ht="15" customHeight="1" x14ac:dyDescent="0.35">
      <c r="A1793" s="218" t="s">
        <v>4070</v>
      </c>
      <c r="B1793" s="116">
        <v>1674</v>
      </c>
      <c r="C1793" s="144">
        <v>10145249</v>
      </c>
      <c r="D1793" s="129" t="s">
        <v>4058</v>
      </c>
      <c r="E1793" s="118" t="s">
        <v>4075</v>
      </c>
      <c r="F1793" s="12">
        <v>1</v>
      </c>
      <c r="G1793" s="3" t="s">
        <v>0</v>
      </c>
      <c r="H1793" s="125">
        <v>42571</v>
      </c>
      <c r="I1793" s="5" t="s">
        <v>1003</v>
      </c>
      <c r="J1793" s="4" t="s">
        <v>4078</v>
      </c>
      <c r="K1793" s="128" t="s">
        <v>4077</v>
      </c>
      <c r="L1793" s="5" t="s">
        <v>871</v>
      </c>
      <c r="M1793" s="123">
        <f>O1793</f>
        <v>18600</v>
      </c>
      <c r="N1793" s="123">
        <f>O1793/F1793</f>
        <v>18600</v>
      </c>
      <c r="O1793" s="135">
        <v>18600</v>
      </c>
      <c r="P1793" s="72">
        <v>12400</v>
      </c>
      <c r="Q1793" s="256">
        <f t="shared" si="411"/>
        <v>2728</v>
      </c>
      <c r="R1793" s="256">
        <f t="shared" si="412"/>
        <v>15128</v>
      </c>
      <c r="S1793" s="296"/>
      <c r="T1793" s="116">
        <v>107</v>
      </c>
      <c r="U1793" s="305"/>
    </row>
    <row r="1794" spans="1:21" ht="15" customHeight="1" x14ac:dyDescent="0.35">
      <c r="A1794" s="218" t="s">
        <v>4071</v>
      </c>
      <c r="B1794" s="116">
        <v>1675</v>
      </c>
      <c r="C1794" s="232">
        <v>10030485</v>
      </c>
      <c r="D1794" s="130" t="s">
        <v>4060</v>
      </c>
      <c r="E1794" s="18" t="s">
        <v>4274</v>
      </c>
      <c r="F1794" s="12">
        <f>2-1</f>
        <v>1</v>
      </c>
      <c r="G1794" s="3" t="s">
        <v>0</v>
      </c>
      <c r="H1794" s="124">
        <v>42004</v>
      </c>
      <c r="I1794" s="5" t="s">
        <v>985</v>
      </c>
      <c r="J1794" s="4" t="s">
        <v>4079</v>
      </c>
      <c r="K1794" s="4" t="s">
        <v>988</v>
      </c>
      <c r="L1794" s="5" t="s">
        <v>871</v>
      </c>
      <c r="M1794" s="123">
        <f>O1794</f>
        <v>6570.56</v>
      </c>
      <c r="N1794" s="123">
        <f>O1794/F1794</f>
        <v>6570.56</v>
      </c>
      <c r="O1794" s="139">
        <f>13141.12/2*1</f>
        <v>6570.56</v>
      </c>
      <c r="P1794" s="72">
        <v>4380</v>
      </c>
      <c r="Q1794" s="256">
        <f t="shared" si="411"/>
        <v>963.6</v>
      </c>
      <c r="R1794" s="256">
        <f t="shared" si="412"/>
        <v>5343.6</v>
      </c>
      <c r="S1794" s="296"/>
      <c r="T1794" s="116">
        <v>107</v>
      </c>
      <c r="U1794" s="305"/>
    </row>
    <row r="1795" spans="1:21" ht="30" customHeight="1" x14ac:dyDescent="0.35">
      <c r="A1795" s="218" t="s">
        <v>4072</v>
      </c>
      <c r="B1795" s="116">
        <v>1676</v>
      </c>
      <c r="C1795" s="232">
        <v>10104622</v>
      </c>
      <c r="D1795" s="133" t="s">
        <v>4061</v>
      </c>
      <c r="E1795" s="18" t="s">
        <v>4274</v>
      </c>
      <c r="F1795" s="12">
        <v>1</v>
      </c>
      <c r="G1795" s="3" t="s">
        <v>0</v>
      </c>
      <c r="H1795" s="124">
        <v>42004</v>
      </c>
      <c r="I1795" s="5" t="s">
        <v>985</v>
      </c>
      <c r="J1795" s="132" t="s">
        <v>4081</v>
      </c>
      <c r="K1795" s="4" t="s">
        <v>988</v>
      </c>
      <c r="L1795" s="5" t="s">
        <v>871</v>
      </c>
      <c r="M1795" s="88">
        <f>O1795</f>
        <v>11348.64</v>
      </c>
      <c r="N1795" s="72">
        <f>O1795/F1795</f>
        <v>11348.64</v>
      </c>
      <c r="O1795" s="140">
        <v>11348.64</v>
      </c>
      <c r="P1795" s="72">
        <v>7560</v>
      </c>
      <c r="Q1795" s="256">
        <f t="shared" si="411"/>
        <v>1663.2</v>
      </c>
      <c r="R1795" s="256">
        <f t="shared" si="412"/>
        <v>9223.2000000000007</v>
      </c>
      <c r="S1795" s="296"/>
      <c r="T1795" s="116">
        <v>107</v>
      </c>
      <c r="U1795" s="305"/>
    </row>
    <row r="1796" spans="1:21" ht="15" customHeight="1" x14ac:dyDescent="0.35">
      <c r="A1796" s="218" t="s">
        <v>4073</v>
      </c>
      <c r="B1796" s="116">
        <v>1677</v>
      </c>
      <c r="C1796" s="233">
        <v>10154340</v>
      </c>
      <c r="D1796" s="131" t="s">
        <v>4062</v>
      </c>
      <c r="E1796" s="18" t="s">
        <v>4274</v>
      </c>
      <c r="F1796" s="12">
        <v>1</v>
      </c>
      <c r="G1796" s="95" t="s">
        <v>0</v>
      </c>
      <c r="H1796" s="126">
        <v>42004</v>
      </c>
      <c r="I1796" s="5" t="s">
        <v>985</v>
      </c>
      <c r="J1796" s="4" t="s">
        <v>4078</v>
      </c>
      <c r="K1796" s="119" t="s">
        <v>988</v>
      </c>
      <c r="L1796" s="5" t="s">
        <v>871</v>
      </c>
      <c r="M1796" s="88">
        <f>O1796</f>
        <v>36369.129999999997</v>
      </c>
      <c r="N1796" s="136">
        <f>O1796/F1796</f>
        <v>36369.129999999997</v>
      </c>
      <c r="O1796" s="136">
        <v>36369.129999999997</v>
      </c>
      <c r="P1796" s="72">
        <v>32060</v>
      </c>
      <c r="Q1796" s="256">
        <f t="shared" si="411"/>
        <v>7053.2</v>
      </c>
      <c r="R1796" s="256">
        <f t="shared" si="412"/>
        <v>39113.199999999997</v>
      </c>
      <c r="S1796" s="297"/>
      <c r="T1796" s="116">
        <v>107</v>
      </c>
      <c r="U1796" s="305"/>
    </row>
    <row r="1797" spans="1:21" ht="14.5" customHeight="1" x14ac:dyDescent="0.35">
      <c r="A1797" s="218"/>
      <c r="B1797" s="120"/>
      <c r="C1797" s="129"/>
      <c r="D1797" s="129"/>
      <c r="E1797" s="113"/>
      <c r="F1797" s="113"/>
      <c r="G1797" s="113"/>
      <c r="H1797" s="113"/>
      <c r="I1797" s="113"/>
      <c r="J1797" s="113"/>
      <c r="K1797" s="113"/>
      <c r="L1797" s="113"/>
      <c r="M1797" s="88"/>
      <c r="N1797" s="136"/>
      <c r="O1797" s="121">
        <f>SUM(O1786:O1796)</f>
        <v>426203.18</v>
      </c>
      <c r="P1797" s="276">
        <f t="shared" ref="P1797:Q1797" si="413">SUM(P1786:P1796)</f>
        <v>274420</v>
      </c>
      <c r="Q1797" s="282">
        <f t="shared" si="413"/>
        <v>60372.4</v>
      </c>
      <c r="R1797" s="282">
        <f>SUM(R1786:R1796)</f>
        <v>334792.40000000002</v>
      </c>
      <c r="S1797" s="286">
        <f>R1797/100*10</f>
        <v>33479.24</v>
      </c>
      <c r="T1797" s="104">
        <v>107</v>
      </c>
      <c r="U1797" s="305"/>
    </row>
    <row r="1798" spans="1:21" ht="15" customHeight="1" x14ac:dyDescent="0.35">
      <c r="A1798" s="218" t="s">
        <v>4084</v>
      </c>
      <c r="B1798" s="116">
        <v>1678</v>
      </c>
      <c r="C1798" s="144">
        <v>10145249</v>
      </c>
      <c r="D1798" s="144" t="s">
        <v>4083</v>
      </c>
      <c r="E1798" s="13" t="s">
        <v>4075</v>
      </c>
      <c r="F1798" s="151">
        <v>1</v>
      </c>
      <c r="G1798" s="116" t="s">
        <v>0</v>
      </c>
      <c r="H1798" s="146">
        <v>42571</v>
      </c>
      <c r="I1798" s="5" t="s">
        <v>1003</v>
      </c>
      <c r="J1798" s="119" t="s">
        <v>1962</v>
      </c>
      <c r="K1798" s="119" t="s">
        <v>988</v>
      </c>
      <c r="L1798" s="5" t="s">
        <v>871</v>
      </c>
      <c r="M1798" s="88">
        <f t="shared" ref="M1798:M1824" si="414">O1798</f>
        <v>49806.64</v>
      </c>
      <c r="N1798" s="136">
        <f t="shared" ref="N1798:N1824" si="415">O1798/F1798</f>
        <v>49806.64</v>
      </c>
      <c r="O1798" s="135">
        <v>49806.64</v>
      </c>
      <c r="P1798" s="72">
        <v>33190</v>
      </c>
      <c r="Q1798" s="256">
        <f>R1798-P1798</f>
        <v>7301.8</v>
      </c>
      <c r="R1798" s="256">
        <f>P1798*1.22</f>
        <v>40491.800000000003</v>
      </c>
      <c r="S1798" s="281"/>
      <c r="T1798" s="116">
        <v>108</v>
      </c>
      <c r="U1798" s="292" t="s">
        <v>2322</v>
      </c>
    </row>
    <row r="1799" spans="1:21" ht="15" customHeight="1" x14ac:dyDescent="0.35">
      <c r="A1799" s="218"/>
      <c r="B1799" s="120"/>
      <c r="C1799" s="129"/>
      <c r="D1799" s="129"/>
      <c r="E1799" s="113"/>
      <c r="F1799" s="113"/>
      <c r="G1799" s="113"/>
      <c r="H1799" s="113"/>
      <c r="I1799" s="113"/>
      <c r="J1799" s="113"/>
      <c r="K1799" s="113"/>
      <c r="L1799" s="113"/>
      <c r="M1799" s="88"/>
      <c r="N1799" s="136"/>
      <c r="O1799" s="121">
        <f>SUM(O1798:O1798)</f>
        <v>49806.64</v>
      </c>
      <c r="P1799" s="276">
        <f t="shared" ref="P1799:Q1799" si="416">P1798</f>
        <v>33190</v>
      </c>
      <c r="Q1799" s="282">
        <f t="shared" si="416"/>
        <v>7301.8</v>
      </c>
      <c r="R1799" s="282">
        <f>R1798</f>
        <v>40491.800000000003</v>
      </c>
      <c r="S1799" s="286">
        <f>R1799/100*10</f>
        <v>4049.18</v>
      </c>
      <c r="T1799" s="104">
        <v>108</v>
      </c>
      <c r="U1799" s="295"/>
    </row>
    <row r="1800" spans="1:21" ht="27" customHeight="1" x14ac:dyDescent="0.35">
      <c r="A1800" s="218" t="s">
        <v>4137</v>
      </c>
      <c r="B1800" s="116">
        <v>1679</v>
      </c>
      <c r="C1800" s="144">
        <v>10002828</v>
      </c>
      <c r="D1800" s="129" t="s">
        <v>4109</v>
      </c>
      <c r="E1800" s="18" t="s">
        <v>2197</v>
      </c>
      <c r="F1800" s="147">
        <v>11</v>
      </c>
      <c r="G1800" s="3" t="s">
        <v>8</v>
      </c>
      <c r="H1800" s="146">
        <v>2019</v>
      </c>
      <c r="I1800" s="116" t="s">
        <v>999</v>
      </c>
      <c r="J1800" s="119" t="s">
        <v>1962</v>
      </c>
      <c r="K1800" s="119" t="s">
        <v>988</v>
      </c>
      <c r="L1800" s="5" t="s">
        <v>871</v>
      </c>
      <c r="M1800" s="88">
        <f t="shared" si="414"/>
        <v>2624.38</v>
      </c>
      <c r="N1800" s="136">
        <f t="shared" si="415"/>
        <v>238.58</v>
      </c>
      <c r="O1800" s="135">
        <v>2624.38</v>
      </c>
      <c r="P1800" s="72">
        <v>1990</v>
      </c>
      <c r="Q1800" s="256">
        <f>R1800-P1800</f>
        <v>437.8</v>
      </c>
      <c r="R1800" s="256">
        <f>P1800*1.22</f>
        <v>2427.8000000000002</v>
      </c>
      <c r="S1800" s="289"/>
      <c r="T1800" s="116">
        <v>109</v>
      </c>
      <c r="U1800" s="292" t="s">
        <v>2343</v>
      </c>
    </row>
    <row r="1801" spans="1:21" ht="27" customHeight="1" x14ac:dyDescent="0.35">
      <c r="A1801" s="218" t="s">
        <v>4138</v>
      </c>
      <c r="B1801" s="116">
        <v>1680</v>
      </c>
      <c r="C1801" s="153">
        <v>102017852</v>
      </c>
      <c r="D1801" s="152" t="s">
        <v>4126</v>
      </c>
      <c r="E1801" s="18" t="s">
        <v>2197</v>
      </c>
      <c r="F1801" s="154">
        <v>5</v>
      </c>
      <c r="G1801" s="95" t="s">
        <v>0</v>
      </c>
      <c r="H1801" s="95">
        <v>2019</v>
      </c>
      <c r="I1801" s="152" t="s">
        <v>999</v>
      </c>
      <c r="J1801" s="119" t="s">
        <v>1962</v>
      </c>
      <c r="K1801" s="119" t="s">
        <v>988</v>
      </c>
      <c r="L1801" s="5" t="s">
        <v>871</v>
      </c>
      <c r="M1801" s="155">
        <f>O1801</f>
        <v>1192.9000000000001</v>
      </c>
      <c r="N1801" s="156">
        <f>O1801/F1801</f>
        <v>238.58</v>
      </c>
      <c r="O1801" s="137">
        <v>1192.9000000000001</v>
      </c>
      <c r="P1801" s="72">
        <v>630</v>
      </c>
      <c r="Q1801" s="256">
        <f>R1801-P1801</f>
        <v>138.6</v>
      </c>
      <c r="R1801" s="256">
        <f>P1801*1.22</f>
        <v>768.6</v>
      </c>
      <c r="S1801" s="297"/>
      <c r="T1801" s="116">
        <v>109</v>
      </c>
      <c r="U1801" s="294"/>
    </row>
    <row r="1802" spans="1:21" ht="15" customHeight="1" x14ac:dyDescent="0.35">
      <c r="A1802" s="218"/>
      <c r="B1802" s="171"/>
      <c r="C1802" s="144"/>
      <c r="D1802" s="129"/>
      <c r="E1802" s="18"/>
      <c r="F1802" s="147"/>
      <c r="G1802" s="3"/>
      <c r="H1802" s="146"/>
      <c r="I1802" s="116"/>
      <c r="J1802" s="119"/>
      <c r="K1802" s="119"/>
      <c r="L1802" s="5"/>
      <c r="M1802" s="88"/>
      <c r="N1802" s="136"/>
      <c r="O1802" s="202">
        <f>SUM(O1800:O1801)</f>
        <v>3817.28</v>
      </c>
      <c r="P1802" s="276">
        <f t="shared" ref="P1802:Q1802" si="417">SUM(P1800:P1801)</f>
        <v>2620</v>
      </c>
      <c r="Q1802" s="282">
        <f t="shared" si="417"/>
        <v>576.4</v>
      </c>
      <c r="R1802" s="282">
        <f>SUM(R1800:R1801)</f>
        <v>3196.4</v>
      </c>
      <c r="S1802" s="286">
        <f>R1802/100*10</f>
        <v>319.64</v>
      </c>
      <c r="T1802" s="104">
        <v>109</v>
      </c>
      <c r="U1802" s="295"/>
    </row>
    <row r="1803" spans="1:21" ht="15" customHeight="1" x14ac:dyDescent="0.35">
      <c r="A1803" s="218" t="s">
        <v>4139</v>
      </c>
      <c r="B1803" s="3">
        <v>1681</v>
      </c>
      <c r="C1803" s="18">
        <v>10018817</v>
      </c>
      <c r="D1803" s="13" t="s">
        <v>4110</v>
      </c>
      <c r="E1803" s="18" t="s">
        <v>2212</v>
      </c>
      <c r="F1803" s="12">
        <f>4-3</f>
        <v>1</v>
      </c>
      <c r="G1803" s="3" t="s">
        <v>0</v>
      </c>
      <c r="H1803" s="5">
        <v>42004</v>
      </c>
      <c r="I1803" s="13" t="s">
        <v>2209</v>
      </c>
      <c r="J1803" s="119" t="s">
        <v>1962</v>
      </c>
      <c r="K1803" s="119" t="s">
        <v>988</v>
      </c>
      <c r="L1803" s="5" t="s">
        <v>871</v>
      </c>
      <c r="M1803" s="88">
        <f>O1803</f>
        <v>1329.72</v>
      </c>
      <c r="N1803" s="139">
        <f>O1803/F1803</f>
        <v>1329.72</v>
      </c>
      <c r="O1803" s="88">
        <f>5318.88/4*1</f>
        <v>1329.72</v>
      </c>
      <c r="P1803" s="72">
        <v>1020</v>
      </c>
      <c r="Q1803" s="256">
        <f>R1803-P1803</f>
        <v>224.4</v>
      </c>
      <c r="R1803" s="256">
        <f>P1803*1.22</f>
        <v>1244.4000000000001</v>
      </c>
      <c r="S1803" s="281"/>
      <c r="T1803" s="3">
        <v>110</v>
      </c>
      <c r="U1803" s="299" t="s">
        <v>2339</v>
      </c>
    </row>
    <row r="1804" spans="1:21" ht="15" customHeight="1" x14ac:dyDescent="0.35">
      <c r="A1804" s="218"/>
      <c r="B1804" s="94"/>
      <c r="C1804" s="144"/>
      <c r="D1804" s="129"/>
      <c r="E1804" s="18"/>
      <c r="F1804" s="147"/>
      <c r="G1804" s="3"/>
      <c r="H1804" s="126"/>
      <c r="I1804" s="129"/>
      <c r="J1804" s="119"/>
      <c r="K1804" s="119"/>
      <c r="L1804" s="5"/>
      <c r="M1804" s="88"/>
      <c r="N1804" s="136"/>
      <c r="O1804" s="121">
        <f>SUM(O1803:O1803)</f>
        <v>1329.72</v>
      </c>
      <c r="P1804" s="276">
        <f t="shared" ref="P1804:Q1804" si="418">P1803</f>
        <v>1020</v>
      </c>
      <c r="Q1804" s="282">
        <f t="shared" si="418"/>
        <v>224.4</v>
      </c>
      <c r="R1804" s="282">
        <f>R1803</f>
        <v>1244.4000000000001</v>
      </c>
      <c r="S1804" s="286">
        <f>R1804/100*10</f>
        <v>124.44</v>
      </c>
      <c r="T1804" s="104">
        <v>110</v>
      </c>
      <c r="U1804" s="300"/>
    </row>
    <row r="1805" spans="1:21" ht="34.5" customHeight="1" x14ac:dyDescent="0.35">
      <c r="A1805" s="218" t="s">
        <v>4133</v>
      </c>
      <c r="B1805" s="3">
        <v>1682</v>
      </c>
      <c r="C1805" s="144">
        <v>10045980</v>
      </c>
      <c r="D1805" s="13" t="s">
        <v>4114</v>
      </c>
      <c r="E1805" s="48" t="s">
        <v>2200</v>
      </c>
      <c r="F1805" s="147">
        <v>1</v>
      </c>
      <c r="G1805" s="3" t="s">
        <v>0</v>
      </c>
      <c r="H1805" s="5">
        <v>41274</v>
      </c>
      <c r="I1805" s="3" t="s">
        <v>1963</v>
      </c>
      <c r="J1805" s="4" t="s">
        <v>1962</v>
      </c>
      <c r="K1805" s="4" t="s">
        <v>4131</v>
      </c>
      <c r="L1805" s="5" t="s">
        <v>871</v>
      </c>
      <c r="M1805" s="88">
        <f t="shared" ref="M1805:M1807" si="419">O1805</f>
        <v>3433.81</v>
      </c>
      <c r="N1805" s="139">
        <f t="shared" ref="N1805:N1808" si="420">O1805/F1805</f>
        <v>3433.81</v>
      </c>
      <c r="O1805" s="88">
        <v>3433.81</v>
      </c>
      <c r="P1805" s="72">
        <v>4210</v>
      </c>
      <c r="Q1805" s="256">
        <f>R1805-P1805</f>
        <v>926.2</v>
      </c>
      <c r="R1805" s="256">
        <f>P1805*1.22</f>
        <v>5136.2</v>
      </c>
      <c r="S1805" s="289"/>
      <c r="T1805" s="116">
        <v>111</v>
      </c>
      <c r="U1805" s="299" t="s">
        <v>2322</v>
      </c>
    </row>
    <row r="1806" spans="1:21" ht="32.5" customHeight="1" x14ac:dyDescent="0.35">
      <c r="A1806" s="218" t="s">
        <v>4134</v>
      </c>
      <c r="B1806" s="3">
        <v>1683</v>
      </c>
      <c r="C1806" s="144">
        <v>10057125</v>
      </c>
      <c r="D1806" s="13" t="s">
        <v>4116</v>
      </c>
      <c r="E1806" s="48" t="s">
        <v>2200</v>
      </c>
      <c r="F1806" s="147">
        <v>1</v>
      </c>
      <c r="G1806" s="3" t="s">
        <v>0</v>
      </c>
      <c r="H1806" s="5">
        <v>39813</v>
      </c>
      <c r="I1806" s="3" t="s">
        <v>1963</v>
      </c>
      <c r="J1806" s="4" t="s">
        <v>1962</v>
      </c>
      <c r="K1806" s="4" t="s">
        <v>4132</v>
      </c>
      <c r="L1806" s="5" t="s">
        <v>871</v>
      </c>
      <c r="M1806" s="88">
        <f t="shared" si="419"/>
        <v>3787.43</v>
      </c>
      <c r="N1806" s="139">
        <f t="shared" si="420"/>
        <v>3787.43</v>
      </c>
      <c r="O1806" s="88">
        <v>3787.43</v>
      </c>
      <c r="P1806" s="72">
        <v>4900</v>
      </c>
      <c r="Q1806" s="256">
        <f>R1806-P1806</f>
        <v>1078</v>
      </c>
      <c r="R1806" s="256">
        <f>P1806*1.22</f>
        <v>5978</v>
      </c>
      <c r="S1806" s="296"/>
      <c r="T1806" s="116">
        <v>111</v>
      </c>
      <c r="U1806" s="299"/>
    </row>
    <row r="1807" spans="1:21" ht="29.15" customHeight="1" x14ac:dyDescent="0.35">
      <c r="A1807" s="219" t="s">
        <v>4140</v>
      </c>
      <c r="B1807" s="3">
        <v>1684</v>
      </c>
      <c r="C1807" s="153">
        <v>10104698</v>
      </c>
      <c r="D1807" s="215" t="s">
        <v>4117</v>
      </c>
      <c r="E1807" s="216" t="s">
        <v>2237</v>
      </c>
      <c r="F1807" s="154">
        <f>12-5-1</f>
        <v>6</v>
      </c>
      <c r="G1807" s="95" t="s">
        <v>0</v>
      </c>
      <c r="H1807" s="95">
        <v>2013</v>
      </c>
      <c r="I1807" s="95" t="s">
        <v>989</v>
      </c>
      <c r="J1807" s="95" t="s">
        <v>2285</v>
      </c>
      <c r="K1807" s="119" t="s">
        <v>4135</v>
      </c>
      <c r="L1807" s="95" t="s">
        <v>977</v>
      </c>
      <c r="M1807" s="155">
        <f t="shared" si="419"/>
        <v>9178</v>
      </c>
      <c r="N1807" s="209">
        <f t="shared" si="420"/>
        <v>1529.67</v>
      </c>
      <c r="O1807" s="155">
        <v>9178</v>
      </c>
      <c r="P1807" s="72">
        <v>14620</v>
      </c>
      <c r="Q1807" s="256">
        <f>R1807-P1807</f>
        <v>3216.4</v>
      </c>
      <c r="R1807" s="256">
        <f>P1807*1.22</f>
        <v>17836.400000000001</v>
      </c>
      <c r="S1807" s="296"/>
      <c r="T1807" s="116">
        <v>111</v>
      </c>
      <c r="U1807" s="299"/>
    </row>
    <row r="1808" spans="1:21" ht="29.15" customHeight="1" x14ac:dyDescent="0.35">
      <c r="A1808" s="219" t="s">
        <v>4141</v>
      </c>
      <c r="B1808" s="3">
        <v>1685</v>
      </c>
      <c r="C1808" s="144">
        <v>102004129</v>
      </c>
      <c r="D1808" s="129" t="s">
        <v>4161</v>
      </c>
      <c r="E1808" s="19" t="s">
        <v>2219</v>
      </c>
      <c r="F1808" s="151">
        <v>3</v>
      </c>
      <c r="G1808" s="116" t="s">
        <v>0</v>
      </c>
      <c r="H1808" s="129"/>
      <c r="I1808" s="129" t="s">
        <v>984</v>
      </c>
      <c r="J1808" s="4" t="s">
        <v>1962</v>
      </c>
      <c r="K1808" s="5" t="s">
        <v>988</v>
      </c>
      <c r="L1808" s="29" t="s">
        <v>871</v>
      </c>
      <c r="M1808" s="123">
        <v>60142.14</v>
      </c>
      <c r="N1808" s="72">
        <f t="shared" si="420"/>
        <v>20047.38</v>
      </c>
      <c r="O1808" s="72">
        <v>60142.14</v>
      </c>
      <c r="P1808" s="72">
        <v>537930</v>
      </c>
      <c r="Q1808" s="256">
        <f>R1808-P1808</f>
        <v>118344.6</v>
      </c>
      <c r="R1808" s="256">
        <f>P1808*1.22</f>
        <v>656274.6</v>
      </c>
      <c r="S1808" s="297"/>
      <c r="T1808" s="116">
        <v>111</v>
      </c>
      <c r="U1808" s="299"/>
    </row>
    <row r="1809" spans="1:25" ht="15" customHeight="1" x14ac:dyDescent="0.35">
      <c r="A1809" s="218"/>
      <c r="B1809" s="94"/>
      <c r="C1809" s="129"/>
      <c r="D1809" s="13"/>
      <c r="E1809" s="129"/>
      <c r="F1809" s="129"/>
      <c r="G1809" s="129"/>
      <c r="H1809" s="129"/>
      <c r="I1809" s="129"/>
      <c r="J1809" s="129"/>
      <c r="K1809" s="129"/>
      <c r="L1809" s="129"/>
      <c r="M1809" s="129"/>
      <c r="N1809" s="129"/>
      <c r="O1809" s="121">
        <f>SUM(O1805:O1808)</f>
        <v>76541.38</v>
      </c>
      <c r="P1809" s="276">
        <f t="shared" ref="P1809:Q1809" si="421">SUM(P1805:P1808)</f>
        <v>561660</v>
      </c>
      <c r="Q1809" s="282">
        <f t="shared" si="421"/>
        <v>123565.2</v>
      </c>
      <c r="R1809" s="282">
        <f>SUM(R1805:R1808)</f>
        <v>685225.2</v>
      </c>
      <c r="S1809" s="286">
        <f>R1809/100*10</f>
        <v>68522.52</v>
      </c>
      <c r="T1809" s="104">
        <v>111</v>
      </c>
      <c r="U1809" s="300"/>
    </row>
    <row r="1810" spans="1:25" ht="28.5" customHeight="1" x14ac:dyDescent="0.35">
      <c r="A1810" s="220" t="s">
        <v>4142</v>
      </c>
      <c r="B1810" s="107">
        <v>1686</v>
      </c>
      <c r="C1810" s="172">
        <v>10019892</v>
      </c>
      <c r="D1810" s="178" t="s">
        <v>4111</v>
      </c>
      <c r="E1810" s="145" t="s">
        <v>2027</v>
      </c>
      <c r="F1810" s="173">
        <v>20</v>
      </c>
      <c r="G1810" s="107" t="s">
        <v>0</v>
      </c>
      <c r="H1810" s="5">
        <v>42004</v>
      </c>
      <c r="I1810" s="129" t="s">
        <v>984</v>
      </c>
      <c r="J1810" s="116" t="s">
        <v>1962</v>
      </c>
      <c r="K1810" s="5" t="s">
        <v>988</v>
      </c>
      <c r="L1810" s="179" t="s">
        <v>4156</v>
      </c>
      <c r="M1810" s="174">
        <f t="shared" si="414"/>
        <v>3571.47</v>
      </c>
      <c r="N1810" s="175">
        <f t="shared" si="415"/>
        <v>178.57</v>
      </c>
      <c r="O1810" s="177">
        <v>3571.47</v>
      </c>
      <c r="P1810" s="72">
        <v>3410</v>
      </c>
      <c r="Q1810" s="256">
        <f>R1810-P1810</f>
        <v>750.2</v>
      </c>
      <c r="R1810" s="256">
        <f>P1810*1.22</f>
        <v>4160.2</v>
      </c>
      <c r="S1810" s="289"/>
      <c r="T1810" s="176">
        <v>112</v>
      </c>
      <c r="U1810" s="298" t="s">
        <v>4155</v>
      </c>
    </row>
    <row r="1811" spans="1:25" ht="14.5" customHeight="1" x14ac:dyDescent="0.35">
      <c r="A1811" s="218" t="s">
        <v>4143</v>
      </c>
      <c r="B1811" s="107">
        <v>1687</v>
      </c>
      <c r="C1811" s="144">
        <v>10158934</v>
      </c>
      <c r="D1811" s="13" t="s">
        <v>4122</v>
      </c>
      <c r="E1811" s="129" t="s">
        <v>4154</v>
      </c>
      <c r="F1811" s="147">
        <v>4</v>
      </c>
      <c r="G1811" s="3" t="s">
        <v>0</v>
      </c>
      <c r="H1811" s="5">
        <v>42676</v>
      </c>
      <c r="I1811" s="129" t="s">
        <v>2209</v>
      </c>
      <c r="J1811" s="116" t="s">
        <v>1962</v>
      </c>
      <c r="K1811" s="5" t="s">
        <v>988</v>
      </c>
      <c r="L1811" s="116" t="s">
        <v>977</v>
      </c>
      <c r="M1811" s="88">
        <f>O1811</f>
        <v>115091.16</v>
      </c>
      <c r="N1811" s="136">
        <f>O1811/F1811</f>
        <v>28772.79</v>
      </c>
      <c r="O1811" s="135">
        <v>115091.16</v>
      </c>
      <c r="P1811" s="72">
        <v>152280</v>
      </c>
      <c r="Q1811" s="256">
        <f>R1811-P1811</f>
        <v>33501.599999999999</v>
      </c>
      <c r="R1811" s="256">
        <f>P1811*1.22</f>
        <v>185781.6</v>
      </c>
      <c r="S1811" s="296"/>
      <c r="T1811" s="176">
        <v>112</v>
      </c>
      <c r="U1811" s="299"/>
    </row>
    <row r="1812" spans="1:25" ht="14.5" customHeight="1" x14ac:dyDescent="0.35">
      <c r="A1812" s="218" t="s">
        <v>4144</v>
      </c>
      <c r="B1812" s="107">
        <v>1688</v>
      </c>
      <c r="C1812" s="144">
        <v>102004310</v>
      </c>
      <c r="D1812" s="13" t="s">
        <v>4125</v>
      </c>
      <c r="E1812" s="18" t="s">
        <v>2211</v>
      </c>
      <c r="F1812" s="147">
        <v>1</v>
      </c>
      <c r="G1812" s="3" t="s">
        <v>0</v>
      </c>
      <c r="H1812" s="5">
        <v>42688</v>
      </c>
      <c r="I1812" s="129" t="s">
        <v>2209</v>
      </c>
      <c r="J1812" s="116" t="s">
        <v>1962</v>
      </c>
      <c r="K1812" s="5" t="s">
        <v>988</v>
      </c>
      <c r="L1812" s="116" t="s">
        <v>2147</v>
      </c>
      <c r="M1812" s="88">
        <f>O1812</f>
        <v>4404.63</v>
      </c>
      <c r="N1812" s="136">
        <f>O1812/F1812</f>
        <v>4404.63</v>
      </c>
      <c r="O1812" s="135">
        <v>4404.63</v>
      </c>
      <c r="P1812" s="72">
        <v>4970</v>
      </c>
      <c r="Q1812" s="256">
        <f>R1812-P1812</f>
        <v>1093.4000000000001</v>
      </c>
      <c r="R1812" s="256">
        <f>P1812*1.22</f>
        <v>6063.4</v>
      </c>
      <c r="S1812" s="297"/>
      <c r="T1812" s="176">
        <v>112</v>
      </c>
      <c r="U1812" s="299"/>
    </row>
    <row r="1813" spans="1:25" ht="15" customHeight="1" x14ac:dyDescent="0.35">
      <c r="A1813" s="218"/>
      <c r="B1813" s="94"/>
      <c r="C1813" s="144"/>
      <c r="D1813" s="13"/>
      <c r="E1813" s="18"/>
      <c r="F1813" s="147"/>
      <c r="G1813" s="3"/>
      <c r="H1813" s="129"/>
      <c r="I1813" s="129"/>
      <c r="J1813" s="129"/>
      <c r="K1813" s="129"/>
      <c r="L1813" s="129"/>
      <c r="M1813" s="88"/>
      <c r="N1813" s="136"/>
      <c r="O1813" s="202">
        <f>SUM(O1810:O1812)</f>
        <v>123067.26</v>
      </c>
      <c r="P1813" s="276">
        <f t="shared" ref="P1813:Q1813" si="422">SUM(P1810:P1812)</f>
        <v>160660</v>
      </c>
      <c r="Q1813" s="282">
        <f t="shared" si="422"/>
        <v>35345.199999999997</v>
      </c>
      <c r="R1813" s="282">
        <f>SUM(R1810:R1812)</f>
        <v>196005.2</v>
      </c>
      <c r="S1813" s="286">
        <f>R1813/100*10</f>
        <v>19600.52</v>
      </c>
      <c r="T1813" s="104">
        <v>112</v>
      </c>
      <c r="U1813" s="300"/>
    </row>
    <row r="1814" spans="1:25" ht="28" customHeight="1" x14ac:dyDescent="0.35">
      <c r="A1814" s="218" t="s">
        <v>4145</v>
      </c>
      <c r="B1814" s="3">
        <v>1689</v>
      </c>
      <c r="C1814" s="18">
        <v>10022651</v>
      </c>
      <c r="D1814" s="13" t="s">
        <v>4112</v>
      </c>
      <c r="E1814" s="19" t="s">
        <v>2240</v>
      </c>
      <c r="F1814" s="12">
        <v>16</v>
      </c>
      <c r="G1814" s="3" t="s">
        <v>0</v>
      </c>
      <c r="H1814" s="5">
        <v>42765</v>
      </c>
      <c r="I1814" s="3" t="s">
        <v>984</v>
      </c>
      <c r="J1814" s="119" t="s">
        <v>4157</v>
      </c>
      <c r="K1814" s="119" t="s">
        <v>4158</v>
      </c>
      <c r="L1814" s="5" t="s">
        <v>977</v>
      </c>
      <c r="M1814" s="88">
        <f t="shared" si="414"/>
        <v>20800</v>
      </c>
      <c r="N1814" s="136">
        <f t="shared" si="415"/>
        <v>1300</v>
      </c>
      <c r="O1814" s="135">
        <v>20800</v>
      </c>
      <c r="P1814" s="72">
        <v>27720</v>
      </c>
      <c r="Q1814" s="256">
        <f>R1814-P1814</f>
        <v>6098.4</v>
      </c>
      <c r="R1814" s="256">
        <f>P1814*1.22</f>
        <v>33818.400000000001</v>
      </c>
      <c r="S1814" s="289"/>
      <c r="T1814" s="116">
        <v>113</v>
      </c>
      <c r="U1814" s="298" t="s">
        <v>2344</v>
      </c>
    </row>
    <row r="1815" spans="1:25" ht="28" customHeight="1" x14ac:dyDescent="0.35">
      <c r="A1815" s="218" t="s">
        <v>4146</v>
      </c>
      <c r="B1815" s="3">
        <v>1690</v>
      </c>
      <c r="C1815" s="18">
        <v>10023282</v>
      </c>
      <c r="D1815" s="13" t="s">
        <v>4113</v>
      </c>
      <c r="E1815" s="19" t="s">
        <v>2240</v>
      </c>
      <c r="F1815" s="12">
        <v>1</v>
      </c>
      <c r="G1815" s="3" t="s">
        <v>0</v>
      </c>
      <c r="H1815" s="5">
        <v>42765</v>
      </c>
      <c r="I1815" s="3" t="s">
        <v>984</v>
      </c>
      <c r="J1815" s="119" t="s">
        <v>4157</v>
      </c>
      <c r="K1815" s="119" t="s">
        <v>4158</v>
      </c>
      <c r="L1815" s="5" t="s">
        <v>977</v>
      </c>
      <c r="M1815" s="88">
        <f>O1815</f>
        <v>2302.8000000000002</v>
      </c>
      <c r="N1815" s="136">
        <f>O1815/F1815</f>
        <v>2302.8000000000002</v>
      </c>
      <c r="O1815" s="135">
        <v>2302.8000000000002</v>
      </c>
      <c r="P1815" s="72">
        <v>3070</v>
      </c>
      <c r="Q1815" s="256">
        <f>R1815-P1815</f>
        <v>675.4</v>
      </c>
      <c r="R1815" s="256">
        <f>P1815*1.22</f>
        <v>3745.4</v>
      </c>
      <c r="S1815" s="296"/>
      <c r="T1815" s="116">
        <v>113</v>
      </c>
      <c r="U1815" s="299"/>
    </row>
    <row r="1816" spans="1:25" ht="28" customHeight="1" x14ac:dyDescent="0.35">
      <c r="A1816" s="218" t="s">
        <v>4147</v>
      </c>
      <c r="B1816" s="3">
        <v>1691</v>
      </c>
      <c r="C1816" s="18">
        <v>10049870</v>
      </c>
      <c r="D1816" s="13" t="s">
        <v>4115</v>
      </c>
      <c r="E1816" s="19" t="s">
        <v>2240</v>
      </c>
      <c r="F1816" s="12">
        <v>9</v>
      </c>
      <c r="G1816" s="3" t="s">
        <v>0</v>
      </c>
      <c r="H1816" s="5">
        <v>42765</v>
      </c>
      <c r="I1816" s="3" t="s">
        <v>984</v>
      </c>
      <c r="J1816" s="119" t="s">
        <v>4157</v>
      </c>
      <c r="K1816" s="119" t="s">
        <v>4158</v>
      </c>
      <c r="L1816" s="5" t="s">
        <v>977</v>
      </c>
      <c r="M1816" s="88">
        <f>O1816</f>
        <v>11700</v>
      </c>
      <c r="N1816" s="136">
        <f>O1816/F1816</f>
        <v>1300</v>
      </c>
      <c r="O1816" s="135">
        <v>11700</v>
      </c>
      <c r="P1816" s="72">
        <v>15590</v>
      </c>
      <c r="Q1816" s="256">
        <f>R1816-P1816</f>
        <v>3429.8</v>
      </c>
      <c r="R1816" s="256">
        <f>P1816*1.22</f>
        <v>19019.8</v>
      </c>
      <c r="S1816" s="296"/>
      <c r="T1816" s="116">
        <v>113</v>
      </c>
      <c r="U1816" s="299"/>
    </row>
    <row r="1817" spans="1:25" ht="28" customHeight="1" x14ac:dyDescent="0.35">
      <c r="A1817" s="218" t="s">
        <v>4148</v>
      </c>
      <c r="B1817" s="3">
        <v>1692</v>
      </c>
      <c r="C1817" s="18">
        <v>102003851</v>
      </c>
      <c r="D1817" s="13" t="s">
        <v>4123</v>
      </c>
      <c r="E1817" s="19" t="s">
        <v>2240</v>
      </c>
      <c r="F1817" s="12">
        <v>2</v>
      </c>
      <c r="G1817" s="3" t="s">
        <v>0</v>
      </c>
      <c r="H1817" s="5">
        <v>42765</v>
      </c>
      <c r="I1817" s="3" t="s">
        <v>984</v>
      </c>
      <c r="J1817" s="119" t="s">
        <v>4157</v>
      </c>
      <c r="K1817" s="119" t="s">
        <v>4158</v>
      </c>
      <c r="L1817" s="5" t="s">
        <v>977</v>
      </c>
      <c r="M1817" s="88">
        <f>O1817</f>
        <v>2600</v>
      </c>
      <c r="N1817" s="136">
        <f>O1817/F1817</f>
        <v>1300</v>
      </c>
      <c r="O1817" s="135">
        <v>2600</v>
      </c>
      <c r="P1817" s="72">
        <v>3630</v>
      </c>
      <c r="Q1817" s="256">
        <f>R1817-P1817</f>
        <v>798.6</v>
      </c>
      <c r="R1817" s="256">
        <f>P1817*1.22</f>
        <v>4428.6000000000004</v>
      </c>
      <c r="S1817" s="296"/>
      <c r="T1817" s="116">
        <v>113</v>
      </c>
      <c r="U1817" s="299"/>
    </row>
    <row r="1818" spans="1:25" ht="28" customHeight="1" x14ac:dyDescent="0.35">
      <c r="A1818" s="218" t="s">
        <v>4149</v>
      </c>
      <c r="B1818" s="3">
        <v>1693</v>
      </c>
      <c r="C1818" s="18">
        <v>102003854</v>
      </c>
      <c r="D1818" s="13" t="s">
        <v>4124</v>
      </c>
      <c r="E1818" s="19" t="s">
        <v>2240</v>
      </c>
      <c r="F1818" s="12">
        <v>6</v>
      </c>
      <c r="G1818" s="3" t="s">
        <v>0</v>
      </c>
      <c r="H1818" s="5">
        <v>42765</v>
      </c>
      <c r="I1818" s="3" t="s">
        <v>984</v>
      </c>
      <c r="J1818" s="119" t="s">
        <v>4157</v>
      </c>
      <c r="K1818" s="119" t="s">
        <v>4158</v>
      </c>
      <c r="L1818" s="5" t="s">
        <v>977</v>
      </c>
      <c r="M1818" s="88">
        <f>O1818</f>
        <v>9720</v>
      </c>
      <c r="N1818" s="136">
        <f>O1818/F1818</f>
        <v>1620</v>
      </c>
      <c r="O1818" s="135">
        <v>9720</v>
      </c>
      <c r="P1818" s="72">
        <v>13590</v>
      </c>
      <c r="Q1818" s="256">
        <f>R1818-P1818</f>
        <v>2989.8</v>
      </c>
      <c r="R1818" s="256">
        <f>P1818*1.22</f>
        <v>16579.8</v>
      </c>
      <c r="S1818" s="297"/>
      <c r="T1818" s="116">
        <v>113</v>
      </c>
      <c r="U1818" s="299"/>
    </row>
    <row r="1819" spans="1:25" ht="15" customHeight="1" x14ac:dyDescent="0.35">
      <c r="A1819" s="218"/>
      <c r="B1819" s="94"/>
      <c r="C1819" s="144"/>
      <c r="D1819" s="13"/>
      <c r="E1819" s="19"/>
      <c r="F1819" s="12"/>
      <c r="G1819" s="3"/>
      <c r="H1819" s="95"/>
      <c r="I1819" s="3"/>
      <c r="J1819" s="129"/>
      <c r="K1819" s="129"/>
      <c r="L1819" s="129"/>
      <c r="M1819" s="88"/>
      <c r="N1819" s="136"/>
      <c r="O1819" s="121">
        <f>SUM(O1814:O1818)</f>
        <v>47122.8</v>
      </c>
      <c r="P1819" s="276">
        <f t="shared" ref="P1819:Q1819" si="423">SUM(P1814:P1818)</f>
        <v>63600</v>
      </c>
      <c r="Q1819" s="282">
        <f t="shared" si="423"/>
        <v>13992</v>
      </c>
      <c r="R1819" s="282">
        <f>SUM(R1814:R1818)</f>
        <v>77592</v>
      </c>
      <c r="S1819" s="286">
        <f>R1819/100*10</f>
        <v>7759.2</v>
      </c>
      <c r="T1819" s="104">
        <v>113</v>
      </c>
      <c r="U1819" s="300"/>
    </row>
    <row r="1820" spans="1:25" ht="14.5" customHeight="1" x14ac:dyDescent="0.35">
      <c r="A1820" s="218" t="s">
        <v>4151</v>
      </c>
      <c r="B1820" s="3">
        <v>1694</v>
      </c>
      <c r="C1820" s="144">
        <v>10141819</v>
      </c>
      <c r="D1820" s="129" t="s">
        <v>4119</v>
      </c>
      <c r="E1820" s="18" t="s">
        <v>709</v>
      </c>
      <c r="F1820" s="241">
        <v>1</v>
      </c>
      <c r="G1820" s="3" t="s">
        <v>0</v>
      </c>
      <c r="H1820" s="3">
        <v>2014</v>
      </c>
      <c r="I1820" s="3" t="s">
        <v>1003</v>
      </c>
      <c r="J1820" s="119" t="s">
        <v>1962</v>
      </c>
      <c r="K1820" s="3" t="s">
        <v>4127</v>
      </c>
      <c r="L1820" s="3" t="s">
        <v>4130</v>
      </c>
      <c r="M1820" s="88">
        <f t="shared" si="414"/>
        <v>425479.66</v>
      </c>
      <c r="N1820" s="136">
        <f t="shared" si="415"/>
        <v>425479.66</v>
      </c>
      <c r="O1820" s="135">
        <v>425479.66</v>
      </c>
      <c r="P1820" s="72">
        <v>45570</v>
      </c>
      <c r="Q1820" s="256">
        <f>R1820-P1820</f>
        <v>10025.4</v>
      </c>
      <c r="R1820" s="256">
        <f>P1820*1.22</f>
        <v>55595.4</v>
      </c>
      <c r="S1820" s="296"/>
      <c r="T1820" s="116">
        <v>114</v>
      </c>
      <c r="U1820" s="299" t="s">
        <v>4614</v>
      </c>
    </row>
    <row r="1821" spans="1:25" ht="14.5" customHeight="1" x14ac:dyDescent="0.35">
      <c r="A1821" s="218" t="s">
        <v>4152</v>
      </c>
      <c r="B1821" s="3">
        <v>1695</v>
      </c>
      <c r="C1821" s="144">
        <v>10142131</v>
      </c>
      <c r="D1821" s="129" t="s">
        <v>4120</v>
      </c>
      <c r="E1821" s="18" t="s">
        <v>709</v>
      </c>
      <c r="F1821" s="241">
        <v>1</v>
      </c>
      <c r="G1821" s="3" t="s">
        <v>0</v>
      </c>
      <c r="H1821" s="3">
        <v>2014</v>
      </c>
      <c r="I1821" s="3" t="s">
        <v>1003</v>
      </c>
      <c r="J1821" s="119" t="s">
        <v>1962</v>
      </c>
      <c r="K1821" s="3" t="s">
        <v>4128</v>
      </c>
      <c r="L1821" s="3" t="s">
        <v>4130</v>
      </c>
      <c r="M1821" s="88">
        <f t="shared" si="414"/>
        <v>1662552</v>
      </c>
      <c r="N1821" s="136">
        <f t="shared" si="415"/>
        <v>1662552</v>
      </c>
      <c r="O1821" s="135">
        <v>1662552</v>
      </c>
      <c r="P1821" s="72">
        <v>167110</v>
      </c>
      <c r="Q1821" s="256">
        <f>R1821-P1821</f>
        <v>36764.199999999997</v>
      </c>
      <c r="R1821" s="256">
        <f>P1821*1.22</f>
        <v>203874.2</v>
      </c>
      <c r="S1821" s="297"/>
      <c r="T1821" s="116">
        <v>114</v>
      </c>
      <c r="U1821" s="299"/>
    </row>
    <row r="1822" spans="1:25" ht="15" customHeight="1" x14ac:dyDescent="0.35">
      <c r="A1822" s="218"/>
      <c r="B1822" s="94"/>
      <c r="C1822" s="144"/>
      <c r="D1822" s="129"/>
      <c r="E1822" s="18"/>
      <c r="F1822" s="12"/>
      <c r="G1822" s="3"/>
      <c r="H1822" s="3"/>
      <c r="I1822" s="3"/>
      <c r="J1822" s="119"/>
      <c r="K1822" s="3"/>
      <c r="L1822" s="3"/>
      <c r="M1822" s="88"/>
      <c r="N1822" s="136"/>
      <c r="O1822" s="202">
        <f t="shared" ref="O1822:R1822" si="424">SUM(O1820:O1821)</f>
        <v>2088031.66</v>
      </c>
      <c r="P1822" s="82">
        <f t="shared" si="424"/>
        <v>212680</v>
      </c>
      <c r="Q1822" s="279">
        <f t="shared" si="424"/>
        <v>46789.599999999999</v>
      </c>
      <c r="R1822" s="279">
        <f t="shared" si="424"/>
        <v>259469.6</v>
      </c>
      <c r="S1822" s="286">
        <f>R1822/100*10</f>
        <v>25946.959999999999</v>
      </c>
      <c r="T1822" s="104">
        <v>114</v>
      </c>
      <c r="U1822" s="300"/>
      <c r="V1822" s="134"/>
      <c r="W1822" s="134"/>
      <c r="X1822" s="134"/>
      <c r="Y1822" s="134"/>
    </row>
    <row r="1823" spans="1:25" ht="28" customHeight="1" x14ac:dyDescent="0.35">
      <c r="A1823" s="218" t="s">
        <v>4150</v>
      </c>
      <c r="B1823" s="3">
        <v>1696</v>
      </c>
      <c r="C1823" s="18">
        <v>10129298</v>
      </c>
      <c r="D1823" s="13" t="s">
        <v>4118</v>
      </c>
      <c r="E1823" s="18" t="s">
        <v>2201</v>
      </c>
      <c r="F1823" s="12">
        <v>3</v>
      </c>
      <c r="G1823" s="3" t="s">
        <v>0</v>
      </c>
      <c r="H1823" s="3">
        <v>2015</v>
      </c>
      <c r="I1823" s="3" t="s">
        <v>999</v>
      </c>
      <c r="J1823" s="119" t="s">
        <v>1962</v>
      </c>
      <c r="K1823" s="119" t="s">
        <v>988</v>
      </c>
      <c r="L1823" s="5" t="s">
        <v>871</v>
      </c>
      <c r="M1823" s="88">
        <f t="shared" ref="M1823" si="425">O1823</f>
        <v>1230</v>
      </c>
      <c r="N1823" s="136">
        <f t="shared" ref="N1823" si="426">O1823/F1823</f>
        <v>410</v>
      </c>
      <c r="O1823" s="135">
        <v>1230</v>
      </c>
      <c r="P1823" s="72">
        <v>640</v>
      </c>
      <c r="Q1823" s="256">
        <f>R1823-P1823</f>
        <v>140.80000000000001</v>
      </c>
      <c r="R1823" s="256">
        <f>P1823*1.22</f>
        <v>780.8</v>
      </c>
      <c r="S1823" s="289"/>
      <c r="T1823" s="116">
        <v>115</v>
      </c>
      <c r="U1823" s="292" t="s">
        <v>4153</v>
      </c>
    </row>
    <row r="1824" spans="1:25" ht="18.75" customHeight="1" x14ac:dyDescent="0.35">
      <c r="A1824" s="218" t="s">
        <v>4181</v>
      </c>
      <c r="B1824" s="3">
        <v>1697</v>
      </c>
      <c r="C1824" s="18">
        <v>10142237</v>
      </c>
      <c r="D1824" s="13" t="s">
        <v>4121</v>
      </c>
      <c r="E1824" s="18" t="s">
        <v>709</v>
      </c>
      <c r="F1824" s="12">
        <v>2</v>
      </c>
      <c r="G1824" s="3" t="s">
        <v>0</v>
      </c>
      <c r="H1824" s="3">
        <v>2014</v>
      </c>
      <c r="I1824" s="3" t="s">
        <v>1003</v>
      </c>
      <c r="J1824" s="119" t="s">
        <v>1962</v>
      </c>
      <c r="K1824" s="3" t="s">
        <v>4129</v>
      </c>
      <c r="L1824" s="3" t="s">
        <v>4130</v>
      </c>
      <c r="M1824" s="88">
        <f t="shared" si="414"/>
        <v>158334.25</v>
      </c>
      <c r="N1824" s="136">
        <f t="shared" si="415"/>
        <v>79167.13</v>
      </c>
      <c r="O1824" s="135">
        <v>158334.25</v>
      </c>
      <c r="P1824" s="72">
        <v>16570</v>
      </c>
      <c r="Q1824" s="256">
        <f>R1824-P1824</f>
        <v>3645.4</v>
      </c>
      <c r="R1824" s="256">
        <f>P1824*1.22</f>
        <v>20215.400000000001</v>
      </c>
      <c r="S1824" s="297"/>
      <c r="T1824" s="116">
        <v>115</v>
      </c>
      <c r="U1824" s="294"/>
    </row>
    <row r="1825" spans="1:21" ht="15" customHeight="1" x14ac:dyDescent="0.35">
      <c r="A1825" s="218"/>
      <c r="B1825" s="94"/>
      <c r="C1825" s="3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203">
        <f>SUM(O1823:O1824)</f>
        <v>159564.25</v>
      </c>
      <c r="P1825" s="276">
        <f t="shared" ref="P1825:Q1825" si="427">SUM(P1823:P1824)</f>
        <v>17210</v>
      </c>
      <c r="Q1825" s="282">
        <f t="shared" si="427"/>
        <v>3786.2</v>
      </c>
      <c r="R1825" s="282">
        <f>SUM(R1823:R1824)</f>
        <v>20996.2</v>
      </c>
      <c r="S1825" s="286">
        <f>R1825/100*10</f>
        <v>2099.62</v>
      </c>
      <c r="T1825" s="104">
        <v>115</v>
      </c>
      <c r="U1825" s="295"/>
    </row>
    <row r="1826" spans="1:21" ht="29.15" customHeight="1" x14ac:dyDescent="0.35">
      <c r="A1826" s="218" t="s">
        <v>2831</v>
      </c>
      <c r="B1826" s="3">
        <v>1698</v>
      </c>
      <c r="C1826" s="18">
        <v>10108375</v>
      </c>
      <c r="D1826" s="19" t="s">
        <v>1346</v>
      </c>
      <c r="E1826" s="24" t="s">
        <v>4276</v>
      </c>
      <c r="F1826" s="241">
        <v>1</v>
      </c>
      <c r="G1826" s="3" t="s">
        <v>0</v>
      </c>
      <c r="H1826" s="3" t="s">
        <v>517</v>
      </c>
      <c r="I1826" s="3" t="s">
        <v>1360</v>
      </c>
      <c r="J1826" s="3" t="s">
        <v>1962</v>
      </c>
      <c r="K1826" s="3" t="s">
        <v>988</v>
      </c>
      <c r="L1826" s="3" t="s">
        <v>977</v>
      </c>
      <c r="M1826" s="72">
        <f t="shared" ref="M1826:M1889" si="428">O1826</f>
        <v>53806</v>
      </c>
      <c r="N1826" s="72">
        <f t="shared" ref="N1826:N1889" si="429">O1826/F1826</f>
        <v>53806</v>
      </c>
      <c r="O1826" s="161">
        <v>53806</v>
      </c>
      <c r="P1826" s="72">
        <v>45550</v>
      </c>
      <c r="Q1826" s="256">
        <f t="shared" ref="Q1826:Q1857" si="430">R1826-P1826</f>
        <v>10021</v>
      </c>
      <c r="R1826" s="256">
        <f t="shared" ref="R1826:R1857" si="431">P1826*1.22</f>
        <v>55571</v>
      </c>
      <c r="S1826" s="289"/>
      <c r="T1826" s="3">
        <v>116</v>
      </c>
      <c r="U1826" s="292" t="s">
        <v>2322</v>
      </c>
    </row>
    <row r="1827" spans="1:21" ht="27.65" customHeight="1" x14ac:dyDescent="0.35">
      <c r="A1827" s="218" t="s">
        <v>2832</v>
      </c>
      <c r="B1827" s="3">
        <v>1699</v>
      </c>
      <c r="C1827" s="18">
        <v>10108257</v>
      </c>
      <c r="D1827" s="19" t="s">
        <v>1347</v>
      </c>
      <c r="E1827" s="24" t="s">
        <v>4277</v>
      </c>
      <c r="F1827" s="241">
        <v>1</v>
      </c>
      <c r="G1827" s="3" t="s">
        <v>0</v>
      </c>
      <c r="H1827" s="3" t="s">
        <v>517</v>
      </c>
      <c r="I1827" s="3" t="s">
        <v>1360</v>
      </c>
      <c r="J1827" s="3" t="s">
        <v>1962</v>
      </c>
      <c r="K1827" s="3" t="s">
        <v>988</v>
      </c>
      <c r="L1827" s="3" t="s">
        <v>977</v>
      </c>
      <c r="M1827" s="72">
        <f t="shared" si="428"/>
        <v>98400</v>
      </c>
      <c r="N1827" s="72">
        <f t="shared" si="429"/>
        <v>98400</v>
      </c>
      <c r="O1827" s="161">
        <v>98400</v>
      </c>
      <c r="P1827" s="72">
        <v>83290</v>
      </c>
      <c r="Q1827" s="256">
        <f t="shared" si="430"/>
        <v>18323.8</v>
      </c>
      <c r="R1827" s="256">
        <f t="shared" si="431"/>
        <v>101613.8</v>
      </c>
      <c r="S1827" s="296"/>
      <c r="T1827" s="3">
        <v>116</v>
      </c>
      <c r="U1827" s="294"/>
    </row>
    <row r="1828" spans="1:21" ht="29.5" customHeight="1" x14ac:dyDescent="0.35">
      <c r="A1828" s="218" t="s">
        <v>2834</v>
      </c>
      <c r="B1828" s="3">
        <v>1700</v>
      </c>
      <c r="C1828" s="18">
        <v>10124477</v>
      </c>
      <c r="D1828" s="19" t="s">
        <v>1349</v>
      </c>
      <c r="E1828" s="24" t="s">
        <v>4277</v>
      </c>
      <c r="F1828" s="241">
        <v>1</v>
      </c>
      <c r="G1828" s="3" t="s">
        <v>0</v>
      </c>
      <c r="H1828" s="3" t="s">
        <v>517</v>
      </c>
      <c r="I1828" s="3" t="s">
        <v>1360</v>
      </c>
      <c r="J1828" s="3" t="s">
        <v>1962</v>
      </c>
      <c r="K1828" s="3" t="s">
        <v>988</v>
      </c>
      <c r="L1828" s="3" t="s">
        <v>977</v>
      </c>
      <c r="M1828" s="72">
        <f t="shared" si="428"/>
        <v>102602.85</v>
      </c>
      <c r="N1828" s="72">
        <f t="shared" si="429"/>
        <v>102602.85</v>
      </c>
      <c r="O1828" s="161">
        <v>102602.85</v>
      </c>
      <c r="P1828" s="72">
        <v>86850</v>
      </c>
      <c r="Q1828" s="256">
        <f t="shared" si="430"/>
        <v>19107</v>
      </c>
      <c r="R1828" s="256">
        <f t="shared" si="431"/>
        <v>105957</v>
      </c>
      <c r="S1828" s="296"/>
      <c r="T1828" s="3">
        <v>116</v>
      </c>
      <c r="U1828" s="294"/>
    </row>
    <row r="1829" spans="1:21" ht="30.65" customHeight="1" x14ac:dyDescent="0.35">
      <c r="A1829" s="218" t="s">
        <v>2835</v>
      </c>
      <c r="B1829" s="3">
        <v>1701</v>
      </c>
      <c r="C1829" s="18">
        <v>10124572</v>
      </c>
      <c r="D1829" s="19" t="s">
        <v>1350</v>
      </c>
      <c r="E1829" s="24" t="s">
        <v>4277</v>
      </c>
      <c r="F1829" s="241">
        <v>1</v>
      </c>
      <c r="G1829" s="3" t="s">
        <v>0</v>
      </c>
      <c r="H1829" s="3" t="s">
        <v>517</v>
      </c>
      <c r="I1829" s="3" t="s">
        <v>1360</v>
      </c>
      <c r="J1829" s="3" t="s">
        <v>1962</v>
      </c>
      <c r="K1829" s="3" t="s">
        <v>988</v>
      </c>
      <c r="L1829" s="3" t="s">
        <v>977</v>
      </c>
      <c r="M1829" s="72">
        <f t="shared" si="428"/>
        <v>106153.95</v>
      </c>
      <c r="N1829" s="72">
        <f t="shared" si="429"/>
        <v>106153.95</v>
      </c>
      <c r="O1829" s="161">
        <v>106153.95</v>
      </c>
      <c r="P1829" s="72">
        <v>89860</v>
      </c>
      <c r="Q1829" s="256">
        <f t="shared" si="430"/>
        <v>19769.2</v>
      </c>
      <c r="R1829" s="256">
        <f t="shared" si="431"/>
        <v>109629.2</v>
      </c>
      <c r="S1829" s="296"/>
      <c r="T1829" s="3">
        <v>116</v>
      </c>
      <c r="U1829" s="294"/>
    </row>
    <row r="1830" spans="1:21" ht="32.15" customHeight="1" x14ac:dyDescent="0.35">
      <c r="A1830" s="218" t="s">
        <v>2836</v>
      </c>
      <c r="B1830" s="3">
        <v>1702</v>
      </c>
      <c r="C1830" s="18">
        <v>10124573</v>
      </c>
      <c r="D1830" s="19" t="s">
        <v>1351</v>
      </c>
      <c r="E1830" s="24" t="s">
        <v>4277</v>
      </c>
      <c r="F1830" s="241">
        <v>1</v>
      </c>
      <c r="G1830" s="3" t="s">
        <v>0</v>
      </c>
      <c r="H1830" s="3" t="s">
        <v>517</v>
      </c>
      <c r="I1830" s="3" t="s">
        <v>1360</v>
      </c>
      <c r="J1830" s="3" t="s">
        <v>1962</v>
      </c>
      <c r="K1830" s="3" t="s">
        <v>988</v>
      </c>
      <c r="L1830" s="3" t="s">
        <v>977</v>
      </c>
      <c r="M1830" s="72">
        <f t="shared" si="428"/>
        <v>115450.65</v>
      </c>
      <c r="N1830" s="72">
        <f t="shared" si="429"/>
        <v>115450.65</v>
      </c>
      <c r="O1830" s="161">
        <v>115450.65</v>
      </c>
      <c r="P1830" s="72">
        <v>97730</v>
      </c>
      <c r="Q1830" s="256">
        <f t="shared" si="430"/>
        <v>21500.6</v>
      </c>
      <c r="R1830" s="256">
        <f t="shared" si="431"/>
        <v>119230.6</v>
      </c>
      <c r="S1830" s="296"/>
      <c r="T1830" s="3">
        <v>116</v>
      </c>
      <c r="U1830" s="294"/>
    </row>
    <row r="1831" spans="1:21" ht="15" customHeight="1" x14ac:dyDescent="0.35">
      <c r="A1831" s="218" t="s">
        <v>2938</v>
      </c>
      <c r="B1831" s="3">
        <v>1703</v>
      </c>
      <c r="C1831" s="18">
        <v>10108262</v>
      </c>
      <c r="D1831" s="19" t="s">
        <v>1906</v>
      </c>
      <c r="E1831" s="18" t="s">
        <v>2027</v>
      </c>
      <c r="F1831" s="241">
        <v>1</v>
      </c>
      <c r="G1831" s="3" t="s">
        <v>0</v>
      </c>
      <c r="H1831" s="3">
        <v>42004</v>
      </c>
      <c r="I1831" s="3" t="s">
        <v>984</v>
      </c>
      <c r="J1831" s="3" t="s">
        <v>1962</v>
      </c>
      <c r="K1831" s="3" t="s">
        <v>988</v>
      </c>
      <c r="L1831" s="3" t="s">
        <v>977</v>
      </c>
      <c r="M1831" s="72">
        <f t="shared" si="428"/>
        <v>72617.460000000006</v>
      </c>
      <c r="N1831" s="72">
        <f t="shared" si="429"/>
        <v>72617.460000000006</v>
      </c>
      <c r="O1831" s="161">
        <v>72617.460000000006</v>
      </c>
      <c r="P1831" s="72">
        <v>61470</v>
      </c>
      <c r="Q1831" s="256">
        <f t="shared" si="430"/>
        <v>13523.4</v>
      </c>
      <c r="R1831" s="256">
        <f t="shared" si="431"/>
        <v>74993.399999999994</v>
      </c>
      <c r="S1831" s="296"/>
      <c r="T1831" s="3">
        <v>116</v>
      </c>
      <c r="U1831" s="294"/>
    </row>
    <row r="1832" spans="1:21" ht="15" customHeight="1" x14ac:dyDescent="0.35">
      <c r="A1832" s="218" t="s">
        <v>2939</v>
      </c>
      <c r="B1832" s="3">
        <v>1704</v>
      </c>
      <c r="C1832" s="18">
        <v>10109263</v>
      </c>
      <c r="D1832" s="19" t="s">
        <v>1907</v>
      </c>
      <c r="E1832" s="18" t="s">
        <v>2027</v>
      </c>
      <c r="F1832" s="241">
        <v>1</v>
      </c>
      <c r="G1832" s="3" t="s">
        <v>0</v>
      </c>
      <c r="H1832" s="3">
        <v>42004</v>
      </c>
      <c r="I1832" s="3" t="s">
        <v>984</v>
      </c>
      <c r="J1832" s="3" t="s">
        <v>1962</v>
      </c>
      <c r="K1832" s="3" t="s">
        <v>988</v>
      </c>
      <c r="L1832" s="3" t="s">
        <v>977</v>
      </c>
      <c r="M1832" s="72">
        <f t="shared" si="428"/>
        <v>57724.42</v>
      </c>
      <c r="N1832" s="72">
        <f t="shared" si="429"/>
        <v>57724.42</v>
      </c>
      <c r="O1832" s="161">
        <v>57724.42</v>
      </c>
      <c r="P1832" s="72">
        <v>48860</v>
      </c>
      <c r="Q1832" s="256">
        <f t="shared" si="430"/>
        <v>10749.2</v>
      </c>
      <c r="R1832" s="256">
        <f t="shared" si="431"/>
        <v>59609.2</v>
      </c>
      <c r="S1832" s="296"/>
      <c r="T1832" s="3">
        <v>116</v>
      </c>
      <c r="U1832" s="294"/>
    </row>
    <row r="1833" spans="1:21" ht="15" customHeight="1" x14ac:dyDescent="0.35">
      <c r="A1833" s="218" t="s">
        <v>2964</v>
      </c>
      <c r="B1833" s="3">
        <v>1705</v>
      </c>
      <c r="C1833" s="18">
        <v>102002213</v>
      </c>
      <c r="D1833" s="19" t="s">
        <v>423</v>
      </c>
      <c r="E1833" s="18" t="s">
        <v>2237</v>
      </c>
      <c r="F1833" s="241">
        <v>1</v>
      </c>
      <c r="G1833" s="3" t="s">
        <v>0</v>
      </c>
      <c r="H1833" s="3">
        <v>42824</v>
      </c>
      <c r="I1833" s="3" t="s">
        <v>989</v>
      </c>
      <c r="J1833" s="3" t="s">
        <v>1962</v>
      </c>
      <c r="K1833" s="3" t="s">
        <v>988</v>
      </c>
      <c r="L1833" s="3" t="s">
        <v>2143</v>
      </c>
      <c r="M1833" s="72">
        <f t="shared" si="428"/>
        <v>21531.3</v>
      </c>
      <c r="N1833" s="72">
        <f t="shared" si="429"/>
        <v>21531.3</v>
      </c>
      <c r="O1833" s="161">
        <v>21531.3</v>
      </c>
      <c r="P1833" s="72">
        <v>9290</v>
      </c>
      <c r="Q1833" s="256">
        <f t="shared" si="430"/>
        <v>2043.8</v>
      </c>
      <c r="R1833" s="256">
        <f t="shared" si="431"/>
        <v>11333.8</v>
      </c>
      <c r="S1833" s="296"/>
      <c r="T1833" s="3">
        <v>116</v>
      </c>
      <c r="U1833" s="294"/>
    </row>
    <row r="1834" spans="1:21" ht="15" customHeight="1" x14ac:dyDescent="0.35">
      <c r="A1834" s="218" t="s">
        <v>2965</v>
      </c>
      <c r="B1834" s="3">
        <v>1706</v>
      </c>
      <c r="C1834" s="18">
        <v>102002220</v>
      </c>
      <c r="D1834" s="19" t="s">
        <v>424</v>
      </c>
      <c r="E1834" s="18" t="s">
        <v>2237</v>
      </c>
      <c r="F1834" s="241">
        <v>1</v>
      </c>
      <c r="G1834" s="3" t="s">
        <v>0</v>
      </c>
      <c r="H1834" s="3">
        <v>2015</v>
      </c>
      <c r="I1834" s="3" t="s">
        <v>989</v>
      </c>
      <c r="J1834" s="3" t="s">
        <v>1962</v>
      </c>
      <c r="K1834" s="3" t="s">
        <v>988</v>
      </c>
      <c r="L1834" s="3" t="s">
        <v>2143</v>
      </c>
      <c r="M1834" s="72">
        <f t="shared" si="428"/>
        <v>19310.02</v>
      </c>
      <c r="N1834" s="72">
        <f t="shared" si="429"/>
        <v>19310.02</v>
      </c>
      <c r="O1834" s="161">
        <v>19310.02</v>
      </c>
      <c r="P1834" s="72">
        <v>9040</v>
      </c>
      <c r="Q1834" s="256">
        <f t="shared" si="430"/>
        <v>1988.8</v>
      </c>
      <c r="R1834" s="256">
        <f t="shared" si="431"/>
        <v>11028.8</v>
      </c>
      <c r="S1834" s="296"/>
      <c r="T1834" s="3">
        <v>116</v>
      </c>
      <c r="U1834" s="294"/>
    </row>
    <row r="1835" spans="1:21" ht="15" customHeight="1" x14ac:dyDescent="0.35">
      <c r="A1835" s="218" t="s">
        <v>2966</v>
      </c>
      <c r="B1835" s="3">
        <v>1707</v>
      </c>
      <c r="C1835" s="18">
        <v>102002225</v>
      </c>
      <c r="D1835" s="19" t="s">
        <v>425</v>
      </c>
      <c r="E1835" s="18" t="s">
        <v>2237</v>
      </c>
      <c r="F1835" s="241">
        <v>1</v>
      </c>
      <c r="G1835" s="3" t="s">
        <v>0</v>
      </c>
      <c r="H1835" s="3">
        <v>42824</v>
      </c>
      <c r="I1835" s="3" t="s">
        <v>989</v>
      </c>
      <c r="J1835" s="3" t="s">
        <v>1962</v>
      </c>
      <c r="K1835" s="3" t="s">
        <v>988</v>
      </c>
      <c r="L1835" s="3" t="s">
        <v>2143</v>
      </c>
      <c r="M1835" s="72">
        <f t="shared" si="428"/>
        <v>28098.36</v>
      </c>
      <c r="N1835" s="72">
        <f t="shared" si="429"/>
        <v>28098.36</v>
      </c>
      <c r="O1835" s="161">
        <v>28098.36</v>
      </c>
      <c r="P1835" s="72">
        <v>12130</v>
      </c>
      <c r="Q1835" s="256">
        <f t="shared" si="430"/>
        <v>2668.6</v>
      </c>
      <c r="R1835" s="256">
        <f t="shared" si="431"/>
        <v>14798.6</v>
      </c>
      <c r="S1835" s="296"/>
      <c r="T1835" s="3">
        <v>116</v>
      </c>
      <c r="U1835" s="294"/>
    </row>
    <row r="1836" spans="1:21" ht="15" customHeight="1" x14ac:dyDescent="0.35">
      <c r="A1836" s="218" t="s">
        <v>2967</v>
      </c>
      <c r="B1836" s="3">
        <v>1708</v>
      </c>
      <c r="C1836" s="18">
        <v>102002286</v>
      </c>
      <c r="D1836" s="19" t="s">
        <v>427</v>
      </c>
      <c r="E1836" s="18" t="s">
        <v>2237</v>
      </c>
      <c r="F1836" s="241">
        <v>1</v>
      </c>
      <c r="G1836" s="3" t="s">
        <v>0</v>
      </c>
      <c r="H1836" s="3">
        <v>42004</v>
      </c>
      <c r="I1836" s="3" t="s">
        <v>989</v>
      </c>
      <c r="J1836" s="3" t="s">
        <v>1962</v>
      </c>
      <c r="K1836" s="3" t="s">
        <v>988</v>
      </c>
      <c r="L1836" s="3" t="s">
        <v>2143</v>
      </c>
      <c r="M1836" s="72">
        <f t="shared" si="428"/>
        <v>21905.94</v>
      </c>
      <c r="N1836" s="72">
        <f t="shared" si="429"/>
        <v>21905.94</v>
      </c>
      <c r="O1836" s="161">
        <v>21905.94</v>
      </c>
      <c r="P1836" s="72">
        <v>10910</v>
      </c>
      <c r="Q1836" s="256">
        <f t="shared" si="430"/>
        <v>2400.1999999999998</v>
      </c>
      <c r="R1836" s="256">
        <f t="shared" si="431"/>
        <v>13310.2</v>
      </c>
      <c r="S1836" s="296"/>
      <c r="T1836" s="3">
        <v>116</v>
      </c>
      <c r="U1836" s="294"/>
    </row>
    <row r="1837" spans="1:21" ht="15" customHeight="1" x14ac:dyDescent="0.35">
      <c r="A1837" s="218" t="s">
        <v>2971</v>
      </c>
      <c r="B1837" s="3">
        <v>1709</v>
      </c>
      <c r="C1837" s="18">
        <v>102002315</v>
      </c>
      <c r="D1837" s="19" t="s">
        <v>433</v>
      </c>
      <c r="E1837" s="18" t="s">
        <v>2237</v>
      </c>
      <c r="F1837" s="241">
        <v>1</v>
      </c>
      <c r="G1837" s="3" t="s">
        <v>0</v>
      </c>
      <c r="H1837" s="3">
        <v>42824</v>
      </c>
      <c r="I1837" s="3" t="s">
        <v>989</v>
      </c>
      <c r="J1837" s="3" t="s">
        <v>1962</v>
      </c>
      <c r="K1837" s="3" t="s">
        <v>988</v>
      </c>
      <c r="L1837" s="3" t="s">
        <v>2143</v>
      </c>
      <c r="M1837" s="72">
        <f t="shared" si="428"/>
        <v>53603.72</v>
      </c>
      <c r="N1837" s="72">
        <f t="shared" si="429"/>
        <v>53603.72</v>
      </c>
      <c r="O1837" s="161">
        <v>53603.72</v>
      </c>
      <c r="P1837" s="72">
        <v>23130</v>
      </c>
      <c r="Q1837" s="256">
        <f t="shared" si="430"/>
        <v>5088.6000000000004</v>
      </c>
      <c r="R1837" s="256">
        <f t="shared" si="431"/>
        <v>28218.6</v>
      </c>
      <c r="S1837" s="296"/>
      <c r="T1837" s="3">
        <v>116</v>
      </c>
      <c r="U1837" s="294"/>
    </row>
    <row r="1838" spans="1:21" ht="15" customHeight="1" x14ac:dyDescent="0.35">
      <c r="A1838" s="218" t="s">
        <v>2972</v>
      </c>
      <c r="B1838" s="3">
        <v>1710</v>
      </c>
      <c r="C1838" s="18">
        <v>102002320</v>
      </c>
      <c r="D1838" s="19" t="s">
        <v>434</v>
      </c>
      <c r="E1838" s="18" t="s">
        <v>2237</v>
      </c>
      <c r="F1838" s="241">
        <v>1</v>
      </c>
      <c r="G1838" s="3" t="s">
        <v>0</v>
      </c>
      <c r="H1838" s="3">
        <v>42004</v>
      </c>
      <c r="I1838" s="3" t="s">
        <v>989</v>
      </c>
      <c r="J1838" s="3" t="s">
        <v>1962</v>
      </c>
      <c r="K1838" s="3" t="s">
        <v>988</v>
      </c>
      <c r="L1838" s="3" t="s">
        <v>2143</v>
      </c>
      <c r="M1838" s="72">
        <f t="shared" si="428"/>
        <v>48500</v>
      </c>
      <c r="N1838" s="72">
        <f t="shared" si="429"/>
        <v>48500</v>
      </c>
      <c r="O1838" s="161">
        <v>48500</v>
      </c>
      <c r="P1838" s="72">
        <v>24150</v>
      </c>
      <c r="Q1838" s="256">
        <f t="shared" si="430"/>
        <v>5313</v>
      </c>
      <c r="R1838" s="256">
        <f t="shared" si="431"/>
        <v>29463</v>
      </c>
      <c r="S1838" s="296"/>
      <c r="T1838" s="3">
        <v>116</v>
      </c>
      <c r="U1838" s="294"/>
    </row>
    <row r="1839" spans="1:21" ht="15" customHeight="1" x14ac:dyDescent="0.35">
      <c r="A1839" s="218" t="s">
        <v>2973</v>
      </c>
      <c r="B1839" s="3">
        <v>1711</v>
      </c>
      <c r="C1839" s="18">
        <v>102002328</v>
      </c>
      <c r="D1839" s="19" t="s">
        <v>436</v>
      </c>
      <c r="E1839" s="18" t="s">
        <v>2237</v>
      </c>
      <c r="F1839" s="241">
        <v>1</v>
      </c>
      <c r="G1839" s="3" t="s">
        <v>0</v>
      </c>
      <c r="H1839" s="3" t="s">
        <v>2195</v>
      </c>
      <c r="I1839" s="3" t="s">
        <v>989</v>
      </c>
      <c r="J1839" s="3" t="s">
        <v>1962</v>
      </c>
      <c r="K1839" s="3" t="s">
        <v>988</v>
      </c>
      <c r="L1839" s="3" t="s">
        <v>2143</v>
      </c>
      <c r="M1839" s="72">
        <f t="shared" si="428"/>
        <v>39677.360000000001</v>
      </c>
      <c r="N1839" s="72">
        <f t="shared" si="429"/>
        <v>39677.360000000001</v>
      </c>
      <c r="O1839" s="161">
        <v>39677.360000000001</v>
      </c>
      <c r="P1839" s="72">
        <v>22160</v>
      </c>
      <c r="Q1839" s="256">
        <f t="shared" si="430"/>
        <v>4875.2</v>
      </c>
      <c r="R1839" s="256">
        <f t="shared" si="431"/>
        <v>27035.200000000001</v>
      </c>
      <c r="S1839" s="296"/>
      <c r="T1839" s="3">
        <v>116</v>
      </c>
      <c r="U1839" s="294"/>
    </row>
    <row r="1840" spans="1:21" ht="15" customHeight="1" x14ac:dyDescent="0.35">
      <c r="A1840" s="218" t="s">
        <v>2974</v>
      </c>
      <c r="B1840" s="3">
        <v>1712</v>
      </c>
      <c r="C1840" s="18">
        <v>102002337</v>
      </c>
      <c r="D1840" s="19" t="s">
        <v>437</v>
      </c>
      <c r="E1840" s="18" t="s">
        <v>2237</v>
      </c>
      <c r="F1840" s="241">
        <v>1</v>
      </c>
      <c r="G1840" s="3" t="s">
        <v>0</v>
      </c>
      <c r="H1840" s="3" t="s">
        <v>2195</v>
      </c>
      <c r="I1840" s="3" t="s">
        <v>989</v>
      </c>
      <c r="J1840" s="3" t="s">
        <v>1962</v>
      </c>
      <c r="K1840" s="3" t="s">
        <v>988</v>
      </c>
      <c r="L1840" s="3" t="s">
        <v>2143</v>
      </c>
      <c r="M1840" s="72">
        <f t="shared" si="428"/>
        <v>35465.24</v>
      </c>
      <c r="N1840" s="72">
        <f t="shared" si="429"/>
        <v>35465.24</v>
      </c>
      <c r="O1840" s="161">
        <v>35465.24</v>
      </c>
      <c r="P1840" s="72">
        <v>19810</v>
      </c>
      <c r="Q1840" s="256">
        <f t="shared" si="430"/>
        <v>4358.2</v>
      </c>
      <c r="R1840" s="256">
        <f t="shared" si="431"/>
        <v>24168.2</v>
      </c>
      <c r="S1840" s="296"/>
      <c r="T1840" s="3">
        <v>116</v>
      </c>
      <c r="U1840" s="294"/>
    </row>
    <row r="1841" spans="1:21" ht="15" customHeight="1" x14ac:dyDescent="0.35">
      <c r="A1841" s="218" t="s">
        <v>2975</v>
      </c>
      <c r="B1841" s="3">
        <v>1713</v>
      </c>
      <c r="C1841" s="18">
        <v>102002338</v>
      </c>
      <c r="D1841" s="19" t="s">
        <v>438</v>
      </c>
      <c r="E1841" s="18" t="s">
        <v>2237</v>
      </c>
      <c r="F1841" s="241">
        <v>1</v>
      </c>
      <c r="G1841" s="3" t="s">
        <v>0</v>
      </c>
      <c r="H1841" s="3" t="s">
        <v>2195</v>
      </c>
      <c r="I1841" s="3" t="s">
        <v>989</v>
      </c>
      <c r="J1841" s="3" t="s">
        <v>1962</v>
      </c>
      <c r="K1841" s="3" t="s">
        <v>988</v>
      </c>
      <c r="L1841" s="3" t="s">
        <v>2143</v>
      </c>
      <c r="M1841" s="72">
        <f t="shared" si="428"/>
        <v>39237.93</v>
      </c>
      <c r="N1841" s="72">
        <f t="shared" si="429"/>
        <v>39237.93</v>
      </c>
      <c r="O1841" s="161">
        <v>39237.93</v>
      </c>
      <c r="P1841" s="72">
        <v>21920</v>
      </c>
      <c r="Q1841" s="256">
        <f t="shared" si="430"/>
        <v>4822.3999999999996</v>
      </c>
      <c r="R1841" s="256">
        <f t="shared" si="431"/>
        <v>26742.400000000001</v>
      </c>
      <c r="S1841" s="296"/>
      <c r="T1841" s="3">
        <v>116</v>
      </c>
      <c r="U1841" s="294"/>
    </row>
    <row r="1842" spans="1:21" ht="15" customHeight="1" x14ac:dyDescent="0.35">
      <c r="A1842" s="218" t="s">
        <v>2976</v>
      </c>
      <c r="B1842" s="3">
        <v>1714</v>
      </c>
      <c r="C1842" s="18">
        <v>102002345</v>
      </c>
      <c r="D1842" s="19" t="s">
        <v>440</v>
      </c>
      <c r="E1842" s="18" t="s">
        <v>2237</v>
      </c>
      <c r="F1842" s="241">
        <v>1</v>
      </c>
      <c r="G1842" s="3" t="s">
        <v>0</v>
      </c>
      <c r="H1842" s="3" t="s">
        <v>2195</v>
      </c>
      <c r="I1842" s="3" t="s">
        <v>989</v>
      </c>
      <c r="J1842" s="3" t="s">
        <v>1962</v>
      </c>
      <c r="K1842" s="3" t="s">
        <v>988</v>
      </c>
      <c r="L1842" s="3" t="s">
        <v>2143</v>
      </c>
      <c r="M1842" s="72">
        <f t="shared" si="428"/>
        <v>34710.720000000001</v>
      </c>
      <c r="N1842" s="72">
        <f t="shared" si="429"/>
        <v>34710.720000000001</v>
      </c>
      <c r="O1842" s="161">
        <v>34710.720000000001</v>
      </c>
      <c r="P1842" s="72">
        <v>19390</v>
      </c>
      <c r="Q1842" s="256">
        <f t="shared" si="430"/>
        <v>4265.8</v>
      </c>
      <c r="R1842" s="256">
        <f t="shared" si="431"/>
        <v>23655.8</v>
      </c>
      <c r="S1842" s="296"/>
      <c r="T1842" s="3">
        <v>116</v>
      </c>
      <c r="U1842" s="294"/>
    </row>
    <row r="1843" spans="1:21" ht="15" customHeight="1" x14ac:dyDescent="0.35">
      <c r="A1843" s="218" t="s">
        <v>2977</v>
      </c>
      <c r="B1843" s="3">
        <v>1715</v>
      </c>
      <c r="C1843" s="18">
        <v>102002347</v>
      </c>
      <c r="D1843" s="19" t="s">
        <v>441</v>
      </c>
      <c r="E1843" s="18" t="s">
        <v>2237</v>
      </c>
      <c r="F1843" s="241">
        <v>1</v>
      </c>
      <c r="G1843" s="3" t="s">
        <v>0</v>
      </c>
      <c r="H1843" s="3" t="s">
        <v>2195</v>
      </c>
      <c r="I1843" s="3" t="s">
        <v>989</v>
      </c>
      <c r="J1843" s="3" t="s">
        <v>1962</v>
      </c>
      <c r="K1843" s="3" t="s">
        <v>988</v>
      </c>
      <c r="L1843" s="3" t="s">
        <v>2143</v>
      </c>
      <c r="M1843" s="72">
        <f t="shared" si="428"/>
        <v>53710.03</v>
      </c>
      <c r="N1843" s="72">
        <f t="shared" si="429"/>
        <v>53710.03</v>
      </c>
      <c r="O1843" s="161">
        <v>53710.03</v>
      </c>
      <c r="P1843" s="72">
        <v>30000</v>
      </c>
      <c r="Q1843" s="256">
        <f t="shared" si="430"/>
        <v>6600</v>
      </c>
      <c r="R1843" s="256">
        <f t="shared" si="431"/>
        <v>36600</v>
      </c>
      <c r="S1843" s="296"/>
      <c r="T1843" s="3">
        <v>116</v>
      </c>
      <c r="U1843" s="294"/>
    </row>
    <row r="1844" spans="1:21" ht="15" customHeight="1" x14ac:dyDescent="0.35">
      <c r="A1844" s="218" t="s">
        <v>2980</v>
      </c>
      <c r="B1844" s="3">
        <v>1716</v>
      </c>
      <c r="C1844" s="18">
        <v>102002308</v>
      </c>
      <c r="D1844" s="19" t="s">
        <v>455</v>
      </c>
      <c r="E1844" s="18" t="s">
        <v>2237</v>
      </c>
      <c r="F1844" s="241">
        <v>2</v>
      </c>
      <c r="G1844" s="3" t="s">
        <v>0</v>
      </c>
      <c r="H1844" s="3" t="s">
        <v>2195</v>
      </c>
      <c r="I1844" s="3" t="s">
        <v>989</v>
      </c>
      <c r="J1844" s="3" t="s">
        <v>1962</v>
      </c>
      <c r="K1844" s="3" t="s">
        <v>988</v>
      </c>
      <c r="L1844" s="3" t="s">
        <v>2143</v>
      </c>
      <c r="M1844" s="72">
        <f t="shared" si="428"/>
        <v>128987.33</v>
      </c>
      <c r="N1844" s="72">
        <f t="shared" si="429"/>
        <v>64493.67</v>
      </c>
      <c r="O1844" s="161">
        <v>128987.33</v>
      </c>
      <c r="P1844" s="72">
        <v>72050</v>
      </c>
      <c r="Q1844" s="256">
        <f t="shared" si="430"/>
        <v>15851</v>
      </c>
      <c r="R1844" s="256">
        <f t="shared" si="431"/>
        <v>87901</v>
      </c>
      <c r="S1844" s="296"/>
      <c r="T1844" s="3">
        <v>116</v>
      </c>
      <c r="U1844" s="294"/>
    </row>
    <row r="1845" spans="1:21" ht="15" customHeight="1" x14ac:dyDescent="0.35">
      <c r="A1845" s="218" t="s">
        <v>2981</v>
      </c>
      <c r="B1845" s="3">
        <v>1717</v>
      </c>
      <c r="C1845" s="18">
        <v>102002309</v>
      </c>
      <c r="D1845" s="19" t="s">
        <v>456</v>
      </c>
      <c r="E1845" s="18" t="s">
        <v>2237</v>
      </c>
      <c r="F1845" s="241">
        <v>2</v>
      </c>
      <c r="G1845" s="3" t="s">
        <v>0</v>
      </c>
      <c r="H1845" s="3" t="s">
        <v>2195</v>
      </c>
      <c r="I1845" s="3" t="s">
        <v>989</v>
      </c>
      <c r="J1845" s="3" t="s">
        <v>1962</v>
      </c>
      <c r="K1845" s="3" t="s">
        <v>988</v>
      </c>
      <c r="L1845" s="3" t="s">
        <v>2143</v>
      </c>
      <c r="M1845" s="72">
        <f t="shared" si="428"/>
        <v>126843.4</v>
      </c>
      <c r="N1845" s="72">
        <f t="shared" si="429"/>
        <v>63421.7</v>
      </c>
      <c r="O1845" s="161">
        <v>126843.4</v>
      </c>
      <c r="P1845" s="72">
        <v>70850</v>
      </c>
      <c r="Q1845" s="256">
        <f t="shared" si="430"/>
        <v>15587</v>
      </c>
      <c r="R1845" s="256">
        <f t="shared" si="431"/>
        <v>86437</v>
      </c>
      <c r="S1845" s="296"/>
      <c r="T1845" s="3">
        <v>116</v>
      </c>
      <c r="U1845" s="294"/>
    </row>
    <row r="1846" spans="1:21" ht="15" customHeight="1" x14ac:dyDescent="0.35">
      <c r="A1846" s="218" t="s">
        <v>2983</v>
      </c>
      <c r="B1846" s="3">
        <v>1718</v>
      </c>
      <c r="C1846" s="18">
        <v>102002342</v>
      </c>
      <c r="D1846" s="19" t="s">
        <v>459</v>
      </c>
      <c r="E1846" s="18" t="s">
        <v>2237</v>
      </c>
      <c r="F1846" s="241">
        <v>2</v>
      </c>
      <c r="G1846" s="3" t="s">
        <v>0</v>
      </c>
      <c r="H1846" s="3" t="s">
        <v>2195</v>
      </c>
      <c r="I1846" s="3" t="s">
        <v>989</v>
      </c>
      <c r="J1846" s="3" t="s">
        <v>1962</v>
      </c>
      <c r="K1846" s="3" t="s">
        <v>988</v>
      </c>
      <c r="L1846" s="3" t="s">
        <v>2143</v>
      </c>
      <c r="M1846" s="72">
        <f t="shared" si="428"/>
        <v>112063.56</v>
      </c>
      <c r="N1846" s="72">
        <f t="shared" si="429"/>
        <v>56031.78</v>
      </c>
      <c r="O1846" s="161">
        <v>112063.56</v>
      </c>
      <c r="P1846" s="72">
        <v>62590</v>
      </c>
      <c r="Q1846" s="256">
        <f t="shared" si="430"/>
        <v>13769.8</v>
      </c>
      <c r="R1846" s="256">
        <f t="shared" si="431"/>
        <v>76359.8</v>
      </c>
      <c r="S1846" s="296"/>
      <c r="T1846" s="3">
        <v>116</v>
      </c>
      <c r="U1846" s="294"/>
    </row>
    <row r="1847" spans="1:21" ht="15" customHeight="1" x14ac:dyDescent="0.35">
      <c r="A1847" s="218" t="s">
        <v>2984</v>
      </c>
      <c r="B1847" s="3">
        <v>1719</v>
      </c>
      <c r="C1847" s="18">
        <v>102002358</v>
      </c>
      <c r="D1847" s="19" t="s">
        <v>460</v>
      </c>
      <c r="E1847" s="18" t="s">
        <v>2237</v>
      </c>
      <c r="F1847" s="241">
        <v>2</v>
      </c>
      <c r="G1847" s="3" t="s">
        <v>0</v>
      </c>
      <c r="H1847" s="3" t="s">
        <v>2195</v>
      </c>
      <c r="I1847" s="3" t="s">
        <v>989</v>
      </c>
      <c r="J1847" s="3" t="s">
        <v>1962</v>
      </c>
      <c r="K1847" s="3" t="s">
        <v>988</v>
      </c>
      <c r="L1847" s="3" t="s">
        <v>2143</v>
      </c>
      <c r="M1847" s="72">
        <f t="shared" si="428"/>
        <v>93894.41</v>
      </c>
      <c r="N1847" s="72">
        <f t="shared" si="429"/>
        <v>46947.21</v>
      </c>
      <c r="O1847" s="161">
        <v>93894.41</v>
      </c>
      <c r="P1847" s="72">
        <v>52450</v>
      </c>
      <c r="Q1847" s="256">
        <f t="shared" si="430"/>
        <v>11539</v>
      </c>
      <c r="R1847" s="256">
        <f t="shared" si="431"/>
        <v>63989</v>
      </c>
      <c r="S1847" s="296"/>
      <c r="T1847" s="3">
        <v>116</v>
      </c>
      <c r="U1847" s="294"/>
    </row>
    <row r="1848" spans="1:21" ht="15" customHeight="1" x14ac:dyDescent="0.35">
      <c r="A1848" s="218" t="s">
        <v>2985</v>
      </c>
      <c r="B1848" s="3">
        <v>1720</v>
      </c>
      <c r="C1848" s="18">
        <v>102002359</v>
      </c>
      <c r="D1848" s="19" t="s">
        <v>461</v>
      </c>
      <c r="E1848" s="18" t="s">
        <v>2237</v>
      </c>
      <c r="F1848" s="241">
        <v>2</v>
      </c>
      <c r="G1848" s="3" t="s">
        <v>0</v>
      </c>
      <c r="H1848" s="3">
        <v>42824</v>
      </c>
      <c r="I1848" s="3" t="s">
        <v>989</v>
      </c>
      <c r="J1848" s="3" t="s">
        <v>1962</v>
      </c>
      <c r="K1848" s="3" t="s">
        <v>988</v>
      </c>
      <c r="L1848" s="3" t="s">
        <v>2143</v>
      </c>
      <c r="M1848" s="72">
        <f t="shared" si="428"/>
        <v>131723.45000000001</v>
      </c>
      <c r="N1848" s="72">
        <f t="shared" si="429"/>
        <v>65861.73</v>
      </c>
      <c r="O1848" s="161">
        <v>131723.45000000001</v>
      </c>
      <c r="P1848" s="72">
        <v>56850</v>
      </c>
      <c r="Q1848" s="256">
        <f t="shared" si="430"/>
        <v>12507</v>
      </c>
      <c r="R1848" s="256">
        <f t="shared" si="431"/>
        <v>69357</v>
      </c>
      <c r="S1848" s="296"/>
      <c r="T1848" s="3">
        <v>116</v>
      </c>
      <c r="U1848" s="294"/>
    </row>
    <row r="1849" spans="1:21" ht="15" customHeight="1" x14ac:dyDescent="0.35">
      <c r="A1849" s="218" t="s">
        <v>2987</v>
      </c>
      <c r="B1849" s="3">
        <v>1721</v>
      </c>
      <c r="C1849" s="18">
        <v>102002341</v>
      </c>
      <c r="D1849" s="19" t="s">
        <v>466</v>
      </c>
      <c r="E1849" s="18" t="s">
        <v>2237</v>
      </c>
      <c r="F1849" s="241">
        <v>3</v>
      </c>
      <c r="G1849" s="3" t="s">
        <v>0</v>
      </c>
      <c r="H1849" s="3">
        <v>42824</v>
      </c>
      <c r="I1849" s="3" t="s">
        <v>989</v>
      </c>
      <c r="J1849" s="3" t="s">
        <v>1962</v>
      </c>
      <c r="K1849" s="3" t="s">
        <v>988</v>
      </c>
      <c r="L1849" s="3" t="s">
        <v>2143</v>
      </c>
      <c r="M1849" s="72">
        <f t="shared" si="428"/>
        <v>207859.45</v>
      </c>
      <c r="N1849" s="72">
        <f t="shared" si="429"/>
        <v>69286.48</v>
      </c>
      <c r="O1849" s="161">
        <v>207859.45</v>
      </c>
      <c r="P1849" s="72">
        <v>89710</v>
      </c>
      <c r="Q1849" s="256">
        <f t="shared" si="430"/>
        <v>19736.2</v>
      </c>
      <c r="R1849" s="256">
        <f t="shared" si="431"/>
        <v>109446.2</v>
      </c>
      <c r="S1849" s="296"/>
      <c r="T1849" s="3">
        <v>116</v>
      </c>
      <c r="U1849" s="294"/>
    </row>
    <row r="1850" spans="1:21" ht="15" customHeight="1" x14ac:dyDescent="0.35">
      <c r="A1850" s="218" t="s">
        <v>2988</v>
      </c>
      <c r="B1850" s="3">
        <v>1722</v>
      </c>
      <c r="C1850" s="18">
        <v>102002349</v>
      </c>
      <c r="D1850" s="19" t="s">
        <v>467</v>
      </c>
      <c r="E1850" s="18" t="s">
        <v>2237</v>
      </c>
      <c r="F1850" s="241">
        <v>3</v>
      </c>
      <c r="G1850" s="3" t="s">
        <v>0</v>
      </c>
      <c r="H1850" s="3">
        <v>42824</v>
      </c>
      <c r="I1850" s="3" t="s">
        <v>989</v>
      </c>
      <c r="J1850" s="3" t="s">
        <v>1962</v>
      </c>
      <c r="K1850" s="3" t="s">
        <v>988</v>
      </c>
      <c r="L1850" s="3" t="s">
        <v>2143</v>
      </c>
      <c r="M1850" s="72">
        <f t="shared" si="428"/>
        <v>258685.96</v>
      </c>
      <c r="N1850" s="72">
        <f t="shared" si="429"/>
        <v>86228.65</v>
      </c>
      <c r="O1850" s="161">
        <v>258685.96</v>
      </c>
      <c r="P1850" s="72">
        <v>111640</v>
      </c>
      <c r="Q1850" s="256">
        <f t="shared" si="430"/>
        <v>24560.799999999999</v>
      </c>
      <c r="R1850" s="256">
        <f t="shared" si="431"/>
        <v>136200.79999999999</v>
      </c>
      <c r="S1850" s="296"/>
      <c r="T1850" s="3">
        <v>116</v>
      </c>
      <c r="U1850" s="294"/>
    </row>
    <row r="1851" spans="1:21" ht="15" customHeight="1" x14ac:dyDescent="0.35">
      <c r="A1851" s="218" t="s">
        <v>2989</v>
      </c>
      <c r="B1851" s="3">
        <v>1723</v>
      </c>
      <c r="C1851" s="18">
        <v>102002351</v>
      </c>
      <c r="D1851" s="19" t="s">
        <v>468</v>
      </c>
      <c r="E1851" s="18" t="s">
        <v>2237</v>
      </c>
      <c r="F1851" s="241">
        <v>3</v>
      </c>
      <c r="G1851" s="3" t="s">
        <v>0</v>
      </c>
      <c r="H1851" s="3">
        <v>42824</v>
      </c>
      <c r="I1851" s="3" t="s">
        <v>989</v>
      </c>
      <c r="J1851" s="3" t="s">
        <v>1962</v>
      </c>
      <c r="K1851" s="3" t="s">
        <v>988</v>
      </c>
      <c r="L1851" s="3" t="s">
        <v>2143</v>
      </c>
      <c r="M1851" s="72">
        <f t="shared" si="428"/>
        <v>164183.78</v>
      </c>
      <c r="N1851" s="72">
        <f t="shared" si="429"/>
        <v>54727.93</v>
      </c>
      <c r="O1851" s="161">
        <v>164183.78</v>
      </c>
      <c r="P1851" s="72">
        <v>70860</v>
      </c>
      <c r="Q1851" s="256">
        <f t="shared" si="430"/>
        <v>15589.2</v>
      </c>
      <c r="R1851" s="256">
        <f t="shared" si="431"/>
        <v>86449.2</v>
      </c>
      <c r="S1851" s="296"/>
      <c r="T1851" s="3">
        <v>116</v>
      </c>
      <c r="U1851" s="294"/>
    </row>
    <row r="1852" spans="1:21" ht="15" customHeight="1" x14ac:dyDescent="0.35">
      <c r="A1852" s="218" t="s">
        <v>2990</v>
      </c>
      <c r="B1852" s="3">
        <v>1724</v>
      </c>
      <c r="C1852" s="18">
        <v>102002352</v>
      </c>
      <c r="D1852" s="19" t="s">
        <v>469</v>
      </c>
      <c r="E1852" s="18" t="s">
        <v>2237</v>
      </c>
      <c r="F1852" s="241">
        <v>3</v>
      </c>
      <c r="G1852" s="3" t="s">
        <v>0</v>
      </c>
      <c r="H1852" s="3">
        <v>42824</v>
      </c>
      <c r="I1852" s="3" t="s">
        <v>989</v>
      </c>
      <c r="J1852" s="3" t="s">
        <v>1962</v>
      </c>
      <c r="K1852" s="3" t="s">
        <v>988</v>
      </c>
      <c r="L1852" s="3" t="s">
        <v>2143</v>
      </c>
      <c r="M1852" s="72">
        <f t="shared" si="428"/>
        <v>313180.46999999997</v>
      </c>
      <c r="N1852" s="72">
        <f t="shared" si="429"/>
        <v>104393.49</v>
      </c>
      <c r="O1852" s="161">
        <v>313180.46999999997</v>
      </c>
      <c r="P1852" s="72">
        <v>135160</v>
      </c>
      <c r="Q1852" s="256">
        <f t="shared" si="430"/>
        <v>29735.200000000001</v>
      </c>
      <c r="R1852" s="256">
        <f t="shared" si="431"/>
        <v>164895.20000000001</v>
      </c>
      <c r="S1852" s="296"/>
      <c r="T1852" s="3">
        <v>116</v>
      </c>
      <c r="U1852" s="294"/>
    </row>
    <row r="1853" spans="1:21" ht="15" customHeight="1" x14ac:dyDescent="0.35">
      <c r="A1853" s="218" t="s">
        <v>2992</v>
      </c>
      <c r="B1853" s="3">
        <v>1725</v>
      </c>
      <c r="C1853" s="18">
        <v>102002343</v>
      </c>
      <c r="D1853" s="19" t="s">
        <v>480</v>
      </c>
      <c r="E1853" s="18" t="s">
        <v>2237</v>
      </c>
      <c r="F1853" s="241">
        <v>5</v>
      </c>
      <c r="G1853" s="3" t="s">
        <v>0</v>
      </c>
      <c r="H1853" s="3" t="s">
        <v>2195</v>
      </c>
      <c r="I1853" s="3" t="s">
        <v>989</v>
      </c>
      <c r="J1853" s="3" t="s">
        <v>1962</v>
      </c>
      <c r="K1853" s="3" t="s">
        <v>988</v>
      </c>
      <c r="L1853" s="3" t="s">
        <v>2143</v>
      </c>
      <c r="M1853" s="72">
        <f t="shared" si="428"/>
        <v>312411.53999999998</v>
      </c>
      <c r="N1853" s="72">
        <f t="shared" si="429"/>
        <v>62482.31</v>
      </c>
      <c r="O1853" s="161">
        <v>312411.53999999998</v>
      </c>
      <c r="P1853" s="72">
        <v>174500</v>
      </c>
      <c r="Q1853" s="256">
        <f t="shared" si="430"/>
        <v>38390</v>
      </c>
      <c r="R1853" s="256">
        <f t="shared" si="431"/>
        <v>212890</v>
      </c>
      <c r="S1853" s="296"/>
      <c r="T1853" s="3">
        <v>116</v>
      </c>
      <c r="U1853" s="294"/>
    </row>
    <row r="1854" spans="1:21" ht="15" customHeight="1" x14ac:dyDescent="0.35">
      <c r="A1854" s="218" t="s">
        <v>2993</v>
      </c>
      <c r="B1854" s="3">
        <v>1726</v>
      </c>
      <c r="C1854" s="18">
        <v>102002348</v>
      </c>
      <c r="D1854" s="19" t="s">
        <v>481</v>
      </c>
      <c r="E1854" s="18" t="s">
        <v>2237</v>
      </c>
      <c r="F1854" s="241">
        <v>5</v>
      </c>
      <c r="G1854" s="3" t="s">
        <v>0</v>
      </c>
      <c r="H1854" s="3" t="s">
        <v>517</v>
      </c>
      <c r="I1854" s="3" t="s">
        <v>989</v>
      </c>
      <c r="J1854" s="3" t="s">
        <v>1962</v>
      </c>
      <c r="K1854" s="3" t="s">
        <v>988</v>
      </c>
      <c r="L1854" s="3" t="s">
        <v>2143</v>
      </c>
      <c r="M1854" s="72">
        <f t="shared" si="428"/>
        <v>342833.5</v>
      </c>
      <c r="N1854" s="72">
        <f t="shared" si="429"/>
        <v>68566.7</v>
      </c>
      <c r="O1854" s="161">
        <v>342833.5</v>
      </c>
      <c r="P1854" s="72">
        <v>170710</v>
      </c>
      <c r="Q1854" s="256">
        <f t="shared" si="430"/>
        <v>37556.199999999997</v>
      </c>
      <c r="R1854" s="256">
        <f t="shared" si="431"/>
        <v>208266.2</v>
      </c>
      <c r="S1854" s="296"/>
      <c r="T1854" s="3">
        <v>116</v>
      </c>
      <c r="U1854" s="294"/>
    </row>
    <row r="1855" spans="1:21" ht="15" customHeight="1" x14ac:dyDescent="0.35">
      <c r="A1855" s="218" t="s">
        <v>2994</v>
      </c>
      <c r="B1855" s="3">
        <v>1727</v>
      </c>
      <c r="C1855" s="18">
        <v>102002350</v>
      </c>
      <c r="D1855" s="19" t="s">
        <v>482</v>
      </c>
      <c r="E1855" s="18" t="s">
        <v>2237</v>
      </c>
      <c r="F1855" s="241">
        <v>5</v>
      </c>
      <c r="G1855" s="3" t="s">
        <v>0</v>
      </c>
      <c r="H1855" s="3" t="s">
        <v>517</v>
      </c>
      <c r="I1855" s="3" t="s">
        <v>989</v>
      </c>
      <c r="J1855" s="3" t="s">
        <v>1962</v>
      </c>
      <c r="K1855" s="3" t="s">
        <v>988</v>
      </c>
      <c r="L1855" s="3" t="s">
        <v>2143</v>
      </c>
      <c r="M1855" s="72">
        <f t="shared" si="428"/>
        <v>281940.2</v>
      </c>
      <c r="N1855" s="72">
        <f t="shared" si="429"/>
        <v>56388.04</v>
      </c>
      <c r="O1855" s="161">
        <v>281940.2</v>
      </c>
      <c r="P1855" s="72">
        <v>140390</v>
      </c>
      <c r="Q1855" s="256">
        <f t="shared" si="430"/>
        <v>30885.8</v>
      </c>
      <c r="R1855" s="256">
        <f t="shared" si="431"/>
        <v>171275.8</v>
      </c>
      <c r="S1855" s="296"/>
      <c r="T1855" s="3">
        <v>116</v>
      </c>
      <c r="U1855" s="294"/>
    </row>
    <row r="1856" spans="1:21" ht="15" customHeight="1" x14ac:dyDescent="0.35">
      <c r="A1856" s="218" t="s">
        <v>2995</v>
      </c>
      <c r="B1856" s="3">
        <v>1728</v>
      </c>
      <c r="C1856" s="18">
        <v>102002322</v>
      </c>
      <c r="D1856" s="19" t="s">
        <v>485</v>
      </c>
      <c r="E1856" s="18" t="s">
        <v>2237</v>
      </c>
      <c r="F1856" s="241">
        <v>6</v>
      </c>
      <c r="G1856" s="3" t="s">
        <v>0</v>
      </c>
      <c r="H1856" s="3" t="s">
        <v>517</v>
      </c>
      <c r="I1856" s="3" t="s">
        <v>989</v>
      </c>
      <c r="J1856" s="3" t="s">
        <v>1962</v>
      </c>
      <c r="K1856" s="3" t="s">
        <v>988</v>
      </c>
      <c r="L1856" s="3" t="s">
        <v>2143</v>
      </c>
      <c r="M1856" s="72">
        <f t="shared" si="428"/>
        <v>328832.89</v>
      </c>
      <c r="N1856" s="72">
        <f t="shared" si="429"/>
        <v>54805.48</v>
      </c>
      <c r="O1856" s="161">
        <v>328832.89</v>
      </c>
      <c r="P1856" s="72">
        <v>163730</v>
      </c>
      <c r="Q1856" s="256">
        <f t="shared" si="430"/>
        <v>36020.6</v>
      </c>
      <c r="R1856" s="256">
        <f t="shared" si="431"/>
        <v>199750.6</v>
      </c>
      <c r="S1856" s="296"/>
      <c r="T1856" s="3">
        <v>116</v>
      </c>
      <c r="U1856" s="294"/>
    </row>
    <row r="1857" spans="1:21" ht="15" customHeight="1" x14ac:dyDescent="0.35">
      <c r="A1857" s="218" t="s">
        <v>3001</v>
      </c>
      <c r="B1857" s="3">
        <v>1729</v>
      </c>
      <c r="C1857" s="18">
        <v>10124616</v>
      </c>
      <c r="D1857" s="19" t="s">
        <v>145</v>
      </c>
      <c r="E1857" s="18" t="s">
        <v>2212</v>
      </c>
      <c r="F1857" s="241">
        <v>1</v>
      </c>
      <c r="G1857" s="3" t="s">
        <v>0</v>
      </c>
      <c r="H1857" s="3" t="s">
        <v>528</v>
      </c>
      <c r="I1857" s="3" t="s">
        <v>2209</v>
      </c>
      <c r="J1857" s="3" t="s">
        <v>1962</v>
      </c>
      <c r="K1857" s="3" t="s">
        <v>988</v>
      </c>
      <c r="L1857" s="3" t="s">
        <v>2143</v>
      </c>
      <c r="M1857" s="72">
        <f t="shared" si="428"/>
        <v>45107</v>
      </c>
      <c r="N1857" s="72">
        <f t="shared" si="429"/>
        <v>45107</v>
      </c>
      <c r="O1857" s="161">
        <v>45107</v>
      </c>
      <c r="P1857" s="72">
        <v>19470</v>
      </c>
      <c r="Q1857" s="256">
        <f t="shared" si="430"/>
        <v>4283.3999999999996</v>
      </c>
      <c r="R1857" s="256">
        <f t="shared" si="431"/>
        <v>23753.4</v>
      </c>
      <c r="S1857" s="296"/>
      <c r="T1857" s="3">
        <v>116</v>
      </c>
      <c r="U1857" s="294"/>
    </row>
    <row r="1858" spans="1:21" ht="15" customHeight="1" x14ac:dyDescent="0.35">
      <c r="A1858" s="218" t="s">
        <v>3109</v>
      </c>
      <c r="B1858" s="3">
        <v>1730</v>
      </c>
      <c r="C1858" s="18">
        <v>102001156</v>
      </c>
      <c r="D1858" s="19" t="s">
        <v>572</v>
      </c>
      <c r="E1858" s="18" t="s">
        <v>2236</v>
      </c>
      <c r="F1858" s="241">
        <v>1</v>
      </c>
      <c r="G1858" s="3" t="s">
        <v>0</v>
      </c>
      <c r="H1858" s="3">
        <v>42004</v>
      </c>
      <c r="I1858" s="3" t="s">
        <v>1003</v>
      </c>
      <c r="J1858" s="3" t="s">
        <v>1962</v>
      </c>
      <c r="K1858" s="3" t="s">
        <v>738</v>
      </c>
      <c r="L1858" s="3" t="s">
        <v>871</v>
      </c>
      <c r="M1858" s="72">
        <f t="shared" si="428"/>
        <v>87685</v>
      </c>
      <c r="N1858" s="72">
        <f t="shared" si="429"/>
        <v>87685</v>
      </c>
      <c r="O1858" s="161">
        <v>87685</v>
      </c>
      <c r="P1858" s="72">
        <v>43660</v>
      </c>
      <c r="Q1858" s="256">
        <f t="shared" ref="Q1858:Q1889" si="432">R1858-P1858</f>
        <v>9605.2000000000007</v>
      </c>
      <c r="R1858" s="256">
        <f t="shared" ref="R1858:R1889" si="433">P1858*1.22</f>
        <v>53265.2</v>
      </c>
      <c r="S1858" s="296"/>
      <c r="T1858" s="3">
        <v>116</v>
      </c>
      <c r="U1858" s="294"/>
    </row>
    <row r="1859" spans="1:21" ht="15" customHeight="1" x14ac:dyDescent="0.35">
      <c r="A1859" s="218" t="s">
        <v>3193</v>
      </c>
      <c r="B1859" s="3">
        <v>1731</v>
      </c>
      <c r="C1859" s="18">
        <v>10108248</v>
      </c>
      <c r="D1859" s="19" t="s">
        <v>225</v>
      </c>
      <c r="E1859" s="18" t="s">
        <v>4106</v>
      </c>
      <c r="F1859" s="241">
        <v>1</v>
      </c>
      <c r="G1859" s="3" t="s">
        <v>0</v>
      </c>
      <c r="H1859" s="3">
        <v>41852</v>
      </c>
      <c r="I1859" s="3" t="s">
        <v>2144</v>
      </c>
      <c r="J1859" s="3" t="s">
        <v>1962</v>
      </c>
      <c r="K1859" s="3" t="s">
        <v>988</v>
      </c>
      <c r="L1859" s="5" t="s">
        <v>871</v>
      </c>
      <c r="M1859" s="72">
        <f t="shared" si="428"/>
        <v>65236.25</v>
      </c>
      <c r="N1859" s="72">
        <f t="shared" si="429"/>
        <v>65236.25</v>
      </c>
      <c r="O1859" s="161">
        <v>65236.25</v>
      </c>
      <c r="P1859" s="72">
        <v>32670</v>
      </c>
      <c r="Q1859" s="256">
        <f t="shared" si="432"/>
        <v>7187.4</v>
      </c>
      <c r="R1859" s="256">
        <f t="shared" si="433"/>
        <v>39857.4</v>
      </c>
      <c r="S1859" s="296"/>
      <c r="T1859" s="3">
        <v>116</v>
      </c>
      <c r="U1859" s="294"/>
    </row>
    <row r="1860" spans="1:21" ht="15" customHeight="1" x14ac:dyDescent="0.35">
      <c r="A1860" s="218" t="s">
        <v>3194</v>
      </c>
      <c r="B1860" s="3">
        <v>1732</v>
      </c>
      <c r="C1860" s="18">
        <v>102010077</v>
      </c>
      <c r="D1860" s="19" t="s">
        <v>235</v>
      </c>
      <c r="E1860" s="18" t="s">
        <v>2204</v>
      </c>
      <c r="F1860" s="241">
        <v>1</v>
      </c>
      <c r="G1860" s="3" t="s">
        <v>0</v>
      </c>
      <c r="H1860" s="3">
        <v>43160</v>
      </c>
      <c r="I1860" s="3" t="s">
        <v>2144</v>
      </c>
      <c r="J1860" s="3" t="s">
        <v>1962</v>
      </c>
      <c r="K1860" s="3" t="s">
        <v>988</v>
      </c>
      <c r="L1860" s="3" t="s">
        <v>871</v>
      </c>
      <c r="M1860" s="72">
        <f t="shared" si="428"/>
        <v>136911</v>
      </c>
      <c r="N1860" s="72">
        <f t="shared" si="429"/>
        <v>136911</v>
      </c>
      <c r="O1860" s="161">
        <v>136911</v>
      </c>
      <c r="P1860" s="72">
        <v>57400</v>
      </c>
      <c r="Q1860" s="256">
        <f t="shared" si="432"/>
        <v>12628</v>
      </c>
      <c r="R1860" s="256">
        <f t="shared" si="433"/>
        <v>70028</v>
      </c>
      <c r="S1860" s="296"/>
      <c r="T1860" s="3">
        <v>116</v>
      </c>
      <c r="U1860" s="294"/>
    </row>
    <row r="1861" spans="1:21" ht="15" customHeight="1" x14ac:dyDescent="0.35">
      <c r="A1861" s="218" t="s">
        <v>3195</v>
      </c>
      <c r="B1861" s="3">
        <v>1733</v>
      </c>
      <c r="C1861" s="18">
        <v>102010954</v>
      </c>
      <c r="D1861" s="19" t="s">
        <v>243</v>
      </c>
      <c r="E1861" s="18" t="s">
        <v>2204</v>
      </c>
      <c r="F1861" s="241">
        <v>2</v>
      </c>
      <c r="G1861" s="3" t="s">
        <v>0</v>
      </c>
      <c r="H1861" s="3">
        <v>43160</v>
      </c>
      <c r="I1861" s="3" t="s">
        <v>2144</v>
      </c>
      <c r="J1861" s="3" t="s">
        <v>1962</v>
      </c>
      <c r="K1861" s="3" t="s">
        <v>988</v>
      </c>
      <c r="L1861" s="3" t="s">
        <v>871</v>
      </c>
      <c r="M1861" s="72">
        <f t="shared" si="428"/>
        <v>378262</v>
      </c>
      <c r="N1861" s="72">
        <f t="shared" si="429"/>
        <v>189131</v>
      </c>
      <c r="O1861" s="161">
        <v>378262</v>
      </c>
      <c r="P1861" s="72">
        <v>158600</v>
      </c>
      <c r="Q1861" s="256">
        <f t="shared" si="432"/>
        <v>34892</v>
      </c>
      <c r="R1861" s="256">
        <f t="shared" si="433"/>
        <v>193492</v>
      </c>
      <c r="S1861" s="296"/>
      <c r="T1861" s="3">
        <v>116</v>
      </c>
      <c r="U1861" s="294"/>
    </row>
    <row r="1862" spans="1:21" ht="15" customHeight="1" x14ac:dyDescent="0.35">
      <c r="A1862" s="218" t="s">
        <v>3196</v>
      </c>
      <c r="B1862" s="3">
        <v>1734</v>
      </c>
      <c r="C1862" s="18">
        <v>102010963</v>
      </c>
      <c r="D1862" s="19" t="s">
        <v>244</v>
      </c>
      <c r="E1862" s="18" t="s">
        <v>2204</v>
      </c>
      <c r="F1862" s="241">
        <v>2</v>
      </c>
      <c r="G1862" s="3" t="s">
        <v>0</v>
      </c>
      <c r="H1862" s="3">
        <v>43160</v>
      </c>
      <c r="I1862" s="3" t="s">
        <v>2144</v>
      </c>
      <c r="J1862" s="3" t="s">
        <v>1962</v>
      </c>
      <c r="K1862" s="3" t="s">
        <v>988</v>
      </c>
      <c r="L1862" s="3" t="s">
        <v>871</v>
      </c>
      <c r="M1862" s="72">
        <f t="shared" si="428"/>
        <v>342278</v>
      </c>
      <c r="N1862" s="72">
        <f t="shared" si="429"/>
        <v>171139</v>
      </c>
      <c r="O1862" s="161">
        <v>342278</v>
      </c>
      <c r="P1862" s="72">
        <v>143510</v>
      </c>
      <c r="Q1862" s="256">
        <f t="shared" si="432"/>
        <v>31572.2</v>
      </c>
      <c r="R1862" s="256">
        <f t="shared" si="433"/>
        <v>175082.2</v>
      </c>
      <c r="S1862" s="296"/>
      <c r="T1862" s="3">
        <v>116</v>
      </c>
      <c r="U1862" s="294"/>
    </row>
    <row r="1863" spans="1:21" ht="15" customHeight="1" x14ac:dyDescent="0.35">
      <c r="A1863" s="218" t="s">
        <v>3214</v>
      </c>
      <c r="B1863" s="3">
        <v>1735</v>
      </c>
      <c r="C1863" s="18">
        <v>102000579</v>
      </c>
      <c r="D1863" s="19" t="s">
        <v>934</v>
      </c>
      <c r="E1863" s="18" t="s">
        <v>4085</v>
      </c>
      <c r="F1863" s="241">
        <v>1</v>
      </c>
      <c r="G1863" s="3" t="s">
        <v>28</v>
      </c>
      <c r="H1863" s="3">
        <v>42277</v>
      </c>
      <c r="I1863" s="3" t="s">
        <v>999</v>
      </c>
      <c r="J1863" s="4" t="s">
        <v>986</v>
      </c>
      <c r="K1863" s="3" t="s">
        <v>988</v>
      </c>
      <c r="L1863" s="3" t="s">
        <v>871</v>
      </c>
      <c r="M1863" s="72">
        <f t="shared" si="428"/>
        <v>105661.07</v>
      </c>
      <c r="N1863" s="72">
        <f t="shared" si="429"/>
        <v>105661.07</v>
      </c>
      <c r="O1863" s="161">
        <v>105661.07</v>
      </c>
      <c r="P1863" s="72">
        <v>49290</v>
      </c>
      <c r="Q1863" s="256">
        <f t="shared" si="432"/>
        <v>10843.8</v>
      </c>
      <c r="R1863" s="256">
        <f t="shared" si="433"/>
        <v>60133.8</v>
      </c>
      <c r="S1863" s="296"/>
      <c r="T1863" s="3">
        <v>116</v>
      </c>
      <c r="U1863" s="294"/>
    </row>
    <row r="1864" spans="1:21" ht="15" customHeight="1" x14ac:dyDescent="0.35">
      <c r="A1864" s="218" t="s">
        <v>3242</v>
      </c>
      <c r="B1864" s="3">
        <v>1736</v>
      </c>
      <c r="C1864" s="18">
        <v>10124622</v>
      </c>
      <c r="D1864" s="19" t="s">
        <v>418</v>
      </c>
      <c r="E1864" s="18" t="s">
        <v>2237</v>
      </c>
      <c r="F1864" s="241">
        <v>1</v>
      </c>
      <c r="G1864" s="3" t="s">
        <v>0</v>
      </c>
      <c r="H1864" s="3" t="s">
        <v>523</v>
      </c>
      <c r="I1864" s="3" t="s">
        <v>989</v>
      </c>
      <c r="J1864" s="4" t="s">
        <v>1962</v>
      </c>
      <c r="K1864" s="4" t="s">
        <v>418</v>
      </c>
      <c r="L1864" s="3" t="s">
        <v>871</v>
      </c>
      <c r="M1864" s="72">
        <f t="shared" si="428"/>
        <v>57700.6</v>
      </c>
      <c r="N1864" s="72">
        <f t="shared" si="429"/>
        <v>57700.6</v>
      </c>
      <c r="O1864" s="161">
        <v>57700.6</v>
      </c>
      <c r="P1864" s="72">
        <v>30050</v>
      </c>
      <c r="Q1864" s="256">
        <f t="shared" si="432"/>
        <v>6611</v>
      </c>
      <c r="R1864" s="256">
        <f t="shared" si="433"/>
        <v>36661</v>
      </c>
      <c r="S1864" s="296"/>
      <c r="T1864" s="3">
        <v>116</v>
      </c>
      <c r="U1864" s="294"/>
    </row>
    <row r="1865" spans="1:21" ht="15" customHeight="1" x14ac:dyDescent="0.35">
      <c r="A1865" s="218" t="s">
        <v>3243</v>
      </c>
      <c r="B1865" s="3">
        <v>1737</v>
      </c>
      <c r="C1865" s="18">
        <v>10108273</v>
      </c>
      <c r="D1865" s="19" t="s">
        <v>263</v>
      </c>
      <c r="E1865" s="18" t="s">
        <v>2237</v>
      </c>
      <c r="F1865" s="241">
        <v>1</v>
      </c>
      <c r="G1865" s="3" t="s">
        <v>0</v>
      </c>
      <c r="H1865" s="3" t="s">
        <v>1158</v>
      </c>
      <c r="I1865" s="3" t="s">
        <v>989</v>
      </c>
      <c r="J1865" s="4" t="s">
        <v>1162</v>
      </c>
      <c r="K1865" s="4" t="s">
        <v>263</v>
      </c>
      <c r="L1865" s="3" t="s">
        <v>871</v>
      </c>
      <c r="M1865" s="72">
        <f t="shared" si="428"/>
        <v>52045.13</v>
      </c>
      <c r="N1865" s="72">
        <f t="shared" si="429"/>
        <v>52045.13</v>
      </c>
      <c r="O1865" s="161">
        <v>52045.13</v>
      </c>
      <c r="P1865" s="72">
        <v>29070</v>
      </c>
      <c r="Q1865" s="256">
        <f t="shared" si="432"/>
        <v>6395.4</v>
      </c>
      <c r="R1865" s="256">
        <f t="shared" si="433"/>
        <v>35465.4</v>
      </c>
      <c r="S1865" s="296"/>
      <c r="T1865" s="3">
        <v>116</v>
      </c>
      <c r="U1865" s="294"/>
    </row>
    <row r="1866" spans="1:21" ht="15" customHeight="1" x14ac:dyDescent="0.35">
      <c r="A1866" s="218" t="s">
        <v>3244</v>
      </c>
      <c r="B1866" s="3">
        <v>1738</v>
      </c>
      <c r="C1866" s="18">
        <v>10124644</v>
      </c>
      <c r="D1866" s="19" t="s">
        <v>448</v>
      </c>
      <c r="E1866" s="18" t="s">
        <v>2237</v>
      </c>
      <c r="F1866" s="241">
        <v>2</v>
      </c>
      <c r="G1866" s="3" t="s">
        <v>0</v>
      </c>
      <c r="H1866" s="3" t="s">
        <v>520</v>
      </c>
      <c r="I1866" s="3" t="s">
        <v>989</v>
      </c>
      <c r="J1866" s="4" t="s">
        <v>1163</v>
      </c>
      <c r="K1866" s="4" t="s">
        <v>448</v>
      </c>
      <c r="L1866" s="3" t="s">
        <v>871</v>
      </c>
      <c r="M1866" s="72">
        <f t="shared" si="428"/>
        <v>104666</v>
      </c>
      <c r="N1866" s="72">
        <f t="shared" si="429"/>
        <v>52333</v>
      </c>
      <c r="O1866" s="161">
        <v>104666</v>
      </c>
      <c r="P1866" s="72">
        <v>53490</v>
      </c>
      <c r="Q1866" s="256">
        <f t="shared" si="432"/>
        <v>11767.8</v>
      </c>
      <c r="R1866" s="256">
        <f t="shared" si="433"/>
        <v>65257.8</v>
      </c>
      <c r="S1866" s="296"/>
      <c r="T1866" s="3">
        <v>116</v>
      </c>
      <c r="U1866" s="294"/>
    </row>
    <row r="1867" spans="1:21" ht="30.65" customHeight="1" x14ac:dyDescent="0.35">
      <c r="A1867" s="218" t="s">
        <v>3245</v>
      </c>
      <c r="B1867" s="3">
        <v>1739</v>
      </c>
      <c r="C1867" s="18">
        <v>10118557</v>
      </c>
      <c r="D1867" s="19" t="s">
        <v>1013</v>
      </c>
      <c r="E1867" s="18" t="s">
        <v>2237</v>
      </c>
      <c r="F1867" s="241">
        <v>1</v>
      </c>
      <c r="G1867" s="3" t="s">
        <v>0</v>
      </c>
      <c r="H1867" s="3" t="s">
        <v>520</v>
      </c>
      <c r="I1867" s="3" t="s">
        <v>989</v>
      </c>
      <c r="J1867" s="4" t="s">
        <v>1164</v>
      </c>
      <c r="K1867" s="4" t="s">
        <v>1013</v>
      </c>
      <c r="L1867" s="3" t="s">
        <v>871</v>
      </c>
      <c r="M1867" s="72">
        <f t="shared" si="428"/>
        <v>65759</v>
      </c>
      <c r="N1867" s="72">
        <f t="shared" si="429"/>
        <v>65759</v>
      </c>
      <c r="O1867" s="161">
        <v>65759</v>
      </c>
      <c r="P1867" s="72">
        <v>33610</v>
      </c>
      <c r="Q1867" s="256">
        <f t="shared" si="432"/>
        <v>7394.2</v>
      </c>
      <c r="R1867" s="256">
        <f t="shared" si="433"/>
        <v>41004.199999999997</v>
      </c>
      <c r="S1867" s="296"/>
      <c r="T1867" s="3">
        <v>116</v>
      </c>
      <c r="U1867" s="294"/>
    </row>
    <row r="1868" spans="1:21" ht="23.5" customHeight="1" x14ac:dyDescent="0.35">
      <c r="A1868" s="218" t="s">
        <v>3246</v>
      </c>
      <c r="B1868" s="3">
        <v>1740</v>
      </c>
      <c r="C1868" s="18">
        <v>10108375</v>
      </c>
      <c r="D1868" s="19" t="s">
        <v>1014</v>
      </c>
      <c r="E1868" s="18" t="s">
        <v>2237</v>
      </c>
      <c r="F1868" s="241">
        <v>2</v>
      </c>
      <c r="G1868" s="3" t="s">
        <v>0</v>
      </c>
      <c r="H1868" s="3" t="s">
        <v>523</v>
      </c>
      <c r="I1868" s="3" t="s">
        <v>989</v>
      </c>
      <c r="J1868" s="4" t="s">
        <v>1962</v>
      </c>
      <c r="K1868" s="4" t="s">
        <v>1014</v>
      </c>
      <c r="L1868" s="3" t="s">
        <v>871</v>
      </c>
      <c r="M1868" s="72">
        <f t="shared" si="428"/>
        <v>107612</v>
      </c>
      <c r="N1868" s="72">
        <f t="shared" si="429"/>
        <v>53806</v>
      </c>
      <c r="O1868" s="161">
        <v>107612</v>
      </c>
      <c r="P1868" s="72">
        <v>53580</v>
      </c>
      <c r="Q1868" s="256">
        <f t="shared" si="432"/>
        <v>11787.6</v>
      </c>
      <c r="R1868" s="256">
        <f t="shared" si="433"/>
        <v>65367.6</v>
      </c>
      <c r="S1868" s="296"/>
      <c r="T1868" s="3">
        <v>116</v>
      </c>
      <c r="U1868" s="294"/>
    </row>
    <row r="1869" spans="1:21" ht="36.75" customHeight="1" x14ac:dyDescent="0.35">
      <c r="A1869" s="218" t="s">
        <v>3247</v>
      </c>
      <c r="B1869" s="3">
        <v>1741</v>
      </c>
      <c r="C1869" s="18">
        <v>10108247</v>
      </c>
      <c r="D1869" s="19" t="s">
        <v>1015</v>
      </c>
      <c r="E1869" s="18" t="s">
        <v>2237</v>
      </c>
      <c r="F1869" s="241">
        <v>4</v>
      </c>
      <c r="G1869" s="3" t="s">
        <v>0</v>
      </c>
      <c r="H1869" s="3" t="s">
        <v>523</v>
      </c>
      <c r="I1869" s="3" t="s">
        <v>989</v>
      </c>
      <c r="J1869" s="4" t="s">
        <v>1165</v>
      </c>
      <c r="K1869" s="4" t="s">
        <v>1015</v>
      </c>
      <c r="L1869" s="3" t="s">
        <v>871</v>
      </c>
      <c r="M1869" s="72">
        <f t="shared" si="428"/>
        <v>218116.29</v>
      </c>
      <c r="N1869" s="72">
        <f t="shared" si="429"/>
        <v>54529.07</v>
      </c>
      <c r="O1869" s="161">
        <v>218116.29</v>
      </c>
      <c r="P1869" s="72">
        <v>113600</v>
      </c>
      <c r="Q1869" s="256">
        <f t="shared" si="432"/>
        <v>24992</v>
      </c>
      <c r="R1869" s="256">
        <f t="shared" si="433"/>
        <v>138592</v>
      </c>
      <c r="S1869" s="296"/>
      <c r="T1869" s="3">
        <v>116</v>
      </c>
      <c r="U1869" s="294"/>
    </row>
    <row r="1870" spans="1:21" ht="15" customHeight="1" x14ac:dyDescent="0.35">
      <c r="A1870" s="218" t="s">
        <v>3248</v>
      </c>
      <c r="B1870" s="3">
        <v>1742</v>
      </c>
      <c r="C1870" s="18">
        <v>10124615</v>
      </c>
      <c r="D1870" s="19" t="s">
        <v>417</v>
      </c>
      <c r="E1870" s="18" t="s">
        <v>2237</v>
      </c>
      <c r="F1870" s="241">
        <v>1</v>
      </c>
      <c r="G1870" s="3" t="s">
        <v>0</v>
      </c>
      <c r="H1870" s="3" t="s">
        <v>520</v>
      </c>
      <c r="I1870" s="3" t="s">
        <v>989</v>
      </c>
      <c r="J1870" s="4" t="s">
        <v>1166</v>
      </c>
      <c r="K1870" s="4" t="s">
        <v>417</v>
      </c>
      <c r="L1870" s="3" t="s">
        <v>871</v>
      </c>
      <c r="M1870" s="72">
        <f t="shared" si="428"/>
        <v>50612</v>
      </c>
      <c r="N1870" s="72">
        <f t="shared" si="429"/>
        <v>50612</v>
      </c>
      <c r="O1870" s="161">
        <v>50612</v>
      </c>
      <c r="P1870" s="72">
        <v>25870</v>
      </c>
      <c r="Q1870" s="256">
        <f t="shared" si="432"/>
        <v>5691.4</v>
      </c>
      <c r="R1870" s="256">
        <f t="shared" si="433"/>
        <v>31561.4</v>
      </c>
      <c r="S1870" s="296"/>
      <c r="T1870" s="3">
        <v>116</v>
      </c>
      <c r="U1870" s="294"/>
    </row>
    <row r="1871" spans="1:21" ht="57" customHeight="1" x14ac:dyDescent="0.35">
      <c r="A1871" s="218" t="s">
        <v>3249</v>
      </c>
      <c r="B1871" s="3">
        <v>1743</v>
      </c>
      <c r="C1871" s="18">
        <v>10108245</v>
      </c>
      <c r="D1871" s="19" t="s">
        <v>1016</v>
      </c>
      <c r="E1871" s="18" t="s">
        <v>2237</v>
      </c>
      <c r="F1871" s="241">
        <f>9-1</f>
        <v>8</v>
      </c>
      <c r="G1871" s="3" t="s">
        <v>0</v>
      </c>
      <c r="H1871" s="3" t="s">
        <v>520</v>
      </c>
      <c r="I1871" s="3" t="s">
        <v>989</v>
      </c>
      <c r="J1871" s="4" t="s">
        <v>1167</v>
      </c>
      <c r="K1871" s="4" t="s">
        <v>1016</v>
      </c>
      <c r="L1871" s="3" t="s">
        <v>871</v>
      </c>
      <c r="M1871" s="72">
        <f t="shared" si="428"/>
        <v>437387.63</v>
      </c>
      <c r="N1871" s="72">
        <f t="shared" si="429"/>
        <v>54673.45</v>
      </c>
      <c r="O1871" s="161">
        <f>492061.08/9*8</f>
        <v>437387.63</v>
      </c>
      <c r="P1871" s="72">
        <v>223540</v>
      </c>
      <c r="Q1871" s="256">
        <f t="shared" si="432"/>
        <v>49178.8</v>
      </c>
      <c r="R1871" s="256">
        <f t="shared" si="433"/>
        <v>272718.8</v>
      </c>
      <c r="S1871" s="296"/>
      <c r="T1871" s="3">
        <v>116</v>
      </c>
      <c r="U1871" s="294"/>
    </row>
    <row r="1872" spans="1:21" ht="39" customHeight="1" x14ac:dyDescent="0.35">
      <c r="A1872" s="218" t="s">
        <v>3250</v>
      </c>
      <c r="B1872" s="3">
        <v>1744</v>
      </c>
      <c r="C1872" s="18">
        <v>10108187</v>
      </c>
      <c r="D1872" s="19" t="s">
        <v>1017</v>
      </c>
      <c r="E1872" s="18" t="s">
        <v>2237</v>
      </c>
      <c r="F1872" s="241">
        <v>3</v>
      </c>
      <c r="G1872" s="3" t="s">
        <v>0</v>
      </c>
      <c r="H1872" s="3" t="s">
        <v>1159</v>
      </c>
      <c r="I1872" s="3" t="s">
        <v>989</v>
      </c>
      <c r="J1872" s="4" t="s">
        <v>1168</v>
      </c>
      <c r="K1872" s="4" t="s">
        <v>1017</v>
      </c>
      <c r="L1872" s="3" t="s">
        <v>871</v>
      </c>
      <c r="M1872" s="72">
        <f t="shared" si="428"/>
        <v>151648.24</v>
      </c>
      <c r="N1872" s="72">
        <f t="shared" si="429"/>
        <v>50549.41</v>
      </c>
      <c r="O1872" s="161">
        <v>151648.24</v>
      </c>
      <c r="P1872" s="72">
        <v>78980</v>
      </c>
      <c r="Q1872" s="256">
        <f t="shared" si="432"/>
        <v>17375.599999999999</v>
      </c>
      <c r="R1872" s="256">
        <f t="shared" si="433"/>
        <v>96355.6</v>
      </c>
      <c r="S1872" s="296"/>
      <c r="T1872" s="3">
        <v>116</v>
      </c>
      <c r="U1872" s="294"/>
    </row>
    <row r="1873" spans="1:21" ht="57" customHeight="1" x14ac:dyDescent="0.35">
      <c r="A1873" s="218" t="s">
        <v>3251</v>
      </c>
      <c r="B1873" s="3">
        <v>1745</v>
      </c>
      <c r="C1873" s="18">
        <v>10108186</v>
      </c>
      <c r="D1873" s="19" t="s">
        <v>1018</v>
      </c>
      <c r="E1873" s="18" t="s">
        <v>2237</v>
      </c>
      <c r="F1873" s="241">
        <v>7</v>
      </c>
      <c r="G1873" s="3" t="s">
        <v>0</v>
      </c>
      <c r="H1873" s="3" t="s">
        <v>1159</v>
      </c>
      <c r="I1873" s="3" t="s">
        <v>989</v>
      </c>
      <c r="J1873" s="4" t="s">
        <v>1169</v>
      </c>
      <c r="K1873" s="4" t="s">
        <v>1018</v>
      </c>
      <c r="L1873" s="3" t="s">
        <v>871</v>
      </c>
      <c r="M1873" s="72">
        <f t="shared" si="428"/>
        <v>393041.21</v>
      </c>
      <c r="N1873" s="72">
        <f t="shared" si="429"/>
        <v>56148.74</v>
      </c>
      <c r="O1873" s="161">
        <v>393041.21</v>
      </c>
      <c r="P1873" s="72">
        <v>204700</v>
      </c>
      <c r="Q1873" s="256">
        <f t="shared" si="432"/>
        <v>45034</v>
      </c>
      <c r="R1873" s="256">
        <f t="shared" si="433"/>
        <v>249734</v>
      </c>
      <c r="S1873" s="296"/>
      <c r="T1873" s="3">
        <v>116</v>
      </c>
      <c r="U1873" s="294"/>
    </row>
    <row r="1874" spans="1:21" ht="45" customHeight="1" x14ac:dyDescent="0.35">
      <c r="A1874" s="218" t="s">
        <v>3252</v>
      </c>
      <c r="B1874" s="3">
        <v>1746</v>
      </c>
      <c r="C1874" s="18">
        <v>10124595</v>
      </c>
      <c r="D1874" s="19" t="s">
        <v>463</v>
      </c>
      <c r="E1874" s="18" t="s">
        <v>2237</v>
      </c>
      <c r="F1874" s="241">
        <v>3</v>
      </c>
      <c r="G1874" s="3" t="s">
        <v>0</v>
      </c>
      <c r="H1874" s="3" t="s">
        <v>520</v>
      </c>
      <c r="I1874" s="3" t="s">
        <v>989</v>
      </c>
      <c r="J1874" s="4" t="s">
        <v>1170</v>
      </c>
      <c r="K1874" s="4" t="s">
        <v>463</v>
      </c>
      <c r="L1874" s="3" t="s">
        <v>871</v>
      </c>
      <c r="M1874" s="72">
        <f t="shared" si="428"/>
        <v>231681</v>
      </c>
      <c r="N1874" s="72">
        <f t="shared" si="429"/>
        <v>77227</v>
      </c>
      <c r="O1874" s="161">
        <v>231681</v>
      </c>
      <c r="P1874" s="72">
        <v>118410</v>
      </c>
      <c r="Q1874" s="256">
        <f t="shared" si="432"/>
        <v>26050.2</v>
      </c>
      <c r="R1874" s="256">
        <f t="shared" si="433"/>
        <v>144460.20000000001</v>
      </c>
      <c r="S1874" s="296"/>
      <c r="T1874" s="3">
        <v>116</v>
      </c>
      <c r="U1874" s="294"/>
    </row>
    <row r="1875" spans="1:21" ht="32.25" customHeight="1" x14ac:dyDescent="0.35">
      <c r="A1875" s="218" t="s">
        <v>3253</v>
      </c>
      <c r="B1875" s="3">
        <v>1747</v>
      </c>
      <c r="C1875" s="18">
        <v>10124643</v>
      </c>
      <c r="D1875" s="19" t="s">
        <v>447</v>
      </c>
      <c r="E1875" s="18" t="s">
        <v>2237</v>
      </c>
      <c r="F1875" s="241">
        <v>2</v>
      </c>
      <c r="G1875" s="3" t="s">
        <v>0</v>
      </c>
      <c r="H1875" s="3" t="s">
        <v>520</v>
      </c>
      <c r="I1875" s="3" t="s">
        <v>989</v>
      </c>
      <c r="J1875" s="4" t="s">
        <v>1171</v>
      </c>
      <c r="K1875" s="4" t="s">
        <v>447</v>
      </c>
      <c r="L1875" s="3" t="s">
        <v>871</v>
      </c>
      <c r="M1875" s="72">
        <f t="shared" si="428"/>
        <v>158684</v>
      </c>
      <c r="N1875" s="72">
        <f t="shared" si="429"/>
        <v>79342</v>
      </c>
      <c r="O1875" s="161">
        <v>158684</v>
      </c>
      <c r="P1875" s="72">
        <v>81100</v>
      </c>
      <c r="Q1875" s="256">
        <f t="shared" si="432"/>
        <v>17842</v>
      </c>
      <c r="R1875" s="256">
        <f t="shared" si="433"/>
        <v>98942</v>
      </c>
      <c r="S1875" s="296"/>
      <c r="T1875" s="3">
        <v>116</v>
      </c>
      <c r="U1875" s="294"/>
    </row>
    <row r="1876" spans="1:21" ht="30.65" customHeight="1" x14ac:dyDescent="0.35">
      <c r="A1876" s="218" t="s">
        <v>3254</v>
      </c>
      <c r="B1876" s="3">
        <v>1748</v>
      </c>
      <c r="C1876" s="18">
        <v>10124642</v>
      </c>
      <c r="D1876" s="19" t="s">
        <v>446</v>
      </c>
      <c r="E1876" s="18" t="s">
        <v>2237</v>
      </c>
      <c r="F1876" s="241">
        <v>2</v>
      </c>
      <c r="G1876" s="3" t="s">
        <v>0</v>
      </c>
      <c r="H1876" s="3" t="s">
        <v>523</v>
      </c>
      <c r="I1876" s="3" t="s">
        <v>989</v>
      </c>
      <c r="J1876" s="4" t="s">
        <v>1172</v>
      </c>
      <c r="K1876" s="4" t="s">
        <v>446</v>
      </c>
      <c r="L1876" s="3" t="s">
        <v>871</v>
      </c>
      <c r="M1876" s="72">
        <f t="shared" si="428"/>
        <v>160512</v>
      </c>
      <c r="N1876" s="72">
        <f t="shared" si="429"/>
        <v>80256</v>
      </c>
      <c r="O1876" s="161">
        <v>160512</v>
      </c>
      <c r="P1876" s="72">
        <v>83600</v>
      </c>
      <c r="Q1876" s="256">
        <f t="shared" si="432"/>
        <v>18392</v>
      </c>
      <c r="R1876" s="256">
        <f t="shared" si="433"/>
        <v>101992</v>
      </c>
      <c r="S1876" s="296"/>
      <c r="T1876" s="3">
        <v>116</v>
      </c>
      <c r="U1876" s="294"/>
    </row>
    <row r="1877" spans="1:21" ht="30.65" customHeight="1" x14ac:dyDescent="0.35">
      <c r="A1877" s="218" t="s">
        <v>3255</v>
      </c>
      <c r="B1877" s="3">
        <v>1749</v>
      </c>
      <c r="C1877" s="18">
        <v>10124528</v>
      </c>
      <c r="D1877" s="19" t="s">
        <v>413</v>
      </c>
      <c r="E1877" s="18" t="s">
        <v>2237</v>
      </c>
      <c r="F1877" s="241">
        <v>1</v>
      </c>
      <c r="G1877" s="3" t="s">
        <v>0</v>
      </c>
      <c r="H1877" s="3" t="s">
        <v>520</v>
      </c>
      <c r="I1877" s="3" t="s">
        <v>989</v>
      </c>
      <c r="J1877" s="4" t="s">
        <v>1173</v>
      </c>
      <c r="K1877" s="4" t="s">
        <v>413</v>
      </c>
      <c r="L1877" s="3" t="s">
        <v>871</v>
      </c>
      <c r="M1877" s="72">
        <f t="shared" si="428"/>
        <v>81099</v>
      </c>
      <c r="N1877" s="72">
        <f t="shared" si="429"/>
        <v>81099</v>
      </c>
      <c r="O1877" s="161">
        <v>81099</v>
      </c>
      <c r="P1877" s="72">
        <v>41450</v>
      </c>
      <c r="Q1877" s="256">
        <f t="shared" si="432"/>
        <v>9119</v>
      </c>
      <c r="R1877" s="256">
        <f t="shared" si="433"/>
        <v>50569</v>
      </c>
      <c r="S1877" s="296"/>
      <c r="T1877" s="3">
        <v>116</v>
      </c>
      <c r="U1877" s="294"/>
    </row>
    <row r="1878" spans="1:21" ht="30.65" customHeight="1" x14ac:dyDescent="0.35">
      <c r="A1878" s="218" t="s">
        <v>3256</v>
      </c>
      <c r="B1878" s="3">
        <v>1750</v>
      </c>
      <c r="C1878" s="18">
        <v>10124506</v>
      </c>
      <c r="D1878" s="19" t="s">
        <v>411</v>
      </c>
      <c r="E1878" s="18" t="s">
        <v>2237</v>
      </c>
      <c r="F1878" s="241">
        <v>1</v>
      </c>
      <c r="G1878" s="3" t="s">
        <v>0</v>
      </c>
      <c r="H1878" s="3" t="s">
        <v>520</v>
      </c>
      <c r="I1878" s="3" t="s">
        <v>989</v>
      </c>
      <c r="J1878" s="4" t="s">
        <v>1174</v>
      </c>
      <c r="K1878" s="4" t="s">
        <v>411</v>
      </c>
      <c r="L1878" s="3" t="s">
        <v>871</v>
      </c>
      <c r="M1878" s="72">
        <f t="shared" si="428"/>
        <v>83214</v>
      </c>
      <c r="N1878" s="72">
        <f t="shared" si="429"/>
        <v>83214</v>
      </c>
      <c r="O1878" s="161">
        <v>83214</v>
      </c>
      <c r="P1878" s="72">
        <v>42530</v>
      </c>
      <c r="Q1878" s="256">
        <f t="shared" si="432"/>
        <v>9356.6</v>
      </c>
      <c r="R1878" s="256">
        <f t="shared" si="433"/>
        <v>51886.6</v>
      </c>
      <c r="S1878" s="296"/>
      <c r="T1878" s="3">
        <v>116</v>
      </c>
      <c r="U1878" s="294"/>
    </row>
    <row r="1879" spans="1:21" ht="30.65" customHeight="1" x14ac:dyDescent="0.35">
      <c r="A1879" s="218" t="s">
        <v>3257</v>
      </c>
      <c r="B1879" s="3">
        <v>1751</v>
      </c>
      <c r="C1879" s="18">
        <v>10124612</v>
      </c>
      <c r="D1879" s="19" t="s">
        <v>416</v>
      </c>
      <c r="E1879" s="18" t="s">
        <v>2237</v>
      </c>
      <c r="F1879" s="241">
        <v>1</v>
      </c>
      <c r="G1879" s="3" t="s">
        <v>0</v>
      </c>
      <c r="H1879" s="3" t="s">
        <v>523</v>
      </c>
      <c r="I1879" s="3" t="s">
        <v>989</v>
      </c>
      <c r="J1879" s="4" t="s">
        <v>1175</v>
      </c>
      <c r="K1879" s="4" t="s">
        <v>416</v>
      </c>
      <c r="L1879" s="3" t="s">
        <v>871</v>
      </c>
      <c r="M1879" s="72">
        <f t="shared" si="428"/>
        <v>79245</v>
      </c>
      <c r="N1879" s="72">
        <f t="shared" si="429"/>
        <v>79245</v>
      </c>
      <c r="O1879" s="161">
        <v>79245</v>
      </c>
      <c r="P1879" s="72">
        <v>41270</v>
      </c>
      <c r="Q1879" s="256">
        <f t="shared" si="432"/>
        <v>9079.4</v>
      </c>
      <c r="R1879" s="256">
        <f t="shared" si="433"/>
        <v>50349.4</v>
      </c>
      <c r="S1879" s="296"/>
      <c r="T1879" s="3">
        <v>116</v>
      </c>
      <c r="U1879" s="294"/>
    </row>
    <row r="1880" spans="1:21" ht="26.25" customHeight="1" x14ac:dyDescent="0.35">
      <c r="A1880" s="218" t="s">
        <v>3258</v>
      </c>
      <c r="B1880" s="3">
        <v>1752</v>
      </c>
      <c r="C1880" s="18">
        <v>10124613</v>
      </c>
      <c r="D1880" s="19" t="s">
        <v>464</v>
      </c>
      <c r="E1880" s="18" t="s">
        <v>2237</v>
      </c>
      <c r="F1880" s="241">
        <v>3</v>
      </c>
      <c r="G1880" s="3" t="s">
        <v>0</v>
      </c>
      <c r="H1880" s="3" t="s">
        <v>520</v>
      </c>
      <c r="I1880" s="3" t="s">
        <v>989</v>
      </c>
      <c r="J1880" s="4" t="s">
        <v>1176</v>
      </c>
      <c r="K1880" s="4" t="s">
        <v>464</v>
      </c>
      <c r="L1880" s="3" t="s">
        <v>871</v>
      </c>
      <c r="M1880" s="72">
        <f t="shared" si="428"/>
        <v>236322</v>
      </c>
      <c r="N1880" s="72">
        <f t="shared" si="429"/>
        <v>78774</v>
      </c>
      <c r="O1880" s="161">
        <v>236322</v>
      </c>
      <c r="P1880" s="72">
        <v>120780</v>
      </c>
      <c r="Q1880" s="256">
        <f t="shared" si="432"/>
        <v>26571.599999999999</v>
      </c>
      <c r="R1880" s="256">
        <f t="shared" si="433"/>
        <v>147351.6</v>
      </c>
      <c r="S1880" s="296"/>
      <c r="T1880" s="3">
        <v>116</v>
      </c>
      <c r="U1880" s="294"/>
    </row>
    <row r="1881" spans="1:21" ht="43.5" customHeight="1" x14ac:dyDescent="0.35">
      <c r="A1881" s="218" t="s">
        <v>3259</v>
      </c>
      <c r="B1881" s="3">
        <v>1753</v>
      </c>
      <c r="C1881" s="18">
        <v>10124565</v>
      </c>
      <c r="D1881" s="19" t="s">
        <v>486</v>
      </c>
      <c r="E1881" s="18" t="s">
        <v>2237</v>
      </c>
      <c r="F1881" s="241">
        <v>7</v>
      </c>
      <c r="G1881" s="3" t="s">
        <v>0</v>
      </c>
      <c r="H1881" s="3" t="s">
        <v>520</v>
      </c>
      <c r="I1881" s="3" t="s">
        <v>989</v>
      </c>
      <c r="J1881" s="4" t="s">
        <v>1177</v>
      </c>
      <c r="K1881" s="4" t="s">
        <v>486</v>
      </c>
      <c r="L1881" s="3" t="s">
        <v>871</v>
      </c>
      <c r="M1881" s="72">
        <f t="shared" si="428"/>
        <v>557802</v>
      </c>
      <c r="N1881" s="72">
        <f t="shared" si="429"/>
        <v>79686</v>
      </c>
      <c r="O1881" s="161">
        <v>557802</v>
      </c>
      <c r="P1881" s="72">
        <v>285080</v>
      </c>
      <c r="Q1881" s="256">
        <f t="shared" si="432"/>
        <v>62717.599999999999</v>
      </c>
      <c r="R1881" s="256">
        <f t="shared" si="433"/>
        <v>347797.6</v>
      </c>
      <c r="S1881" s="296"/>
      <c r="T1881" s="3">
        <v>116</v>
      </c>
      <c r="U1881" s="294"/>
    </row>
    <row r="1882" spans="1:21" ht="40.5" customHeight="1" x14ac:dyDescent="0.35">
      <c r="A1882" s="218" t="s">
        <v>3260</v>
      </c>
      <c r="B1882" s="3">
        <v>1754</v>
      </c>
      <c r="C1882" s="18">
        <v>10120709</v>
      </c>
      <c r="D1882" s="19" t="s">
        <v>1019</v>
      </c>
      <c r="E1882" s="18" t="s">
        <v>2237</v>
      </c>
      <c r="F1882" s="241">
        <v>4</v>
      </c>
      <c r="G1882" s="3" t="s">
        <v>0</v>
      </c>
      <c r="H1882" s="3" t="s">
        <v>523</v>
      </c>
      <c r="I1882" s="3" t="s">
        <v>989</v>
      </c>
      <c r="J1882" s="4" t="s">
        <v>1178</v>
      </c>
      <c r="K1882" s="4" t="s">
        <v>1019</v>
      </c>
      <c r="L1882" s="3" t="s">
        <v>871</v>
      </c>
      <c r="M1882" s="72">
        <f t="shared" si="428"/>
        <v>417609.44</v>
      </c>
      <c r="N1882" s="72">
        <f t="shared" si="429"/>
        <v>104402.36</v>
      </c>
      <c r="O1882" s="161">
        <v>417609.44</v>
      </c>
      <c r="P1882" s="72">
        <v>217490</v>
      </c>
      <c r="Q1882" s="256">
        <f t="shared" si="432"/>
        <v>47847.8</v>
      </c>
      <c r="R1882" s="256">
        <f t="shared" si="433"/>
        <v>265337.8</v>
      </c>
      <c r="S1882" s="296"/>
      <c r="T1882" s="3">
        <v>116</v>
      </c>
      <c r="U1882" s="294"/>
    </row>
    <row r="1883" spans="1:21" ht="35.25" customHeight="1" x14ac:dyDescent="0.35">
      <c r="A1883" s="218" t="s">
        <v>3261</v>
      </c>
      <c r="B1883" s="3">
        <v>1755</v>
      </c>
      <c r="C1883" s="18">
        <v>10120713</v>
      </c>
      <c r="D1883" s="19" t="s">
        <v>1020</v>
      </c>
      <c r="E1883" s="18" t="s">
        <v>2237</v>
      </c>
      <c r="F1883" s="241">
        <v>3</v>
      </c>
      <c r="G1883" s="3" t="s">
        <v>0</v>
      </c>
      <c r="H1883" s="3" t="s">
        <v>1158</v>
      </c>
      <c r="I1883" s="3" t="s">
        <v>989</v>
      </c>
      <c r="J1883" s="4" t="s">
        <v>1179</v>
      </c>
      <c r="K1883" s="4" t="s">
        <v>1020</v>
      </c>
      <c r="L1883" s="3" t="s">
        <v>871</v>
      </c>
      <c r="M1883" s="72">
        <f t="shared" si="428"/>
        <v>322361.37</v>
      </c>
      <c r="N1883" s="72">
        <f t="shared" si="429"/>
        <v>107453.79</v>
      </c>
      <c r="O1883" s="161">
        <v>322361.37</v>
      </c>
      <c r="P1883" s="72">
        <v>180060</v>
      </c>
      <c r="Q1883" s="256">
        <f t="shared" si="432"/>
        <v>39613.199999999997</v>
      </c>
      <c r="R1883" s="256">
        <f t="shared" si="433"/>
        <v>219673.2</v>
      </c>
      <c r="S1883" s="296"/>
      <c r="T1883" s="3">
        <v>116</v>
      </c>
      <c r="U1883" s="294"/>
    </row>
    <row r="1884" spans="1:21" ht="32.25" customHeight="1" x14ac:dyDescent="0.35">
      <c r="A1884" s="218" t="s">
        <v>3262</v>
      </c>
      <c r="B1884" s="3">
        <v>1756</v>
      </c>
      <c r="C1884" s="18">
        <v>10120750</v>
      </c>
      <c r="D1884" s="19" t="s">
        <v>1021</v>
      </c>
      <c r="E1884" s="18" t="s">
        <v>2237</v>
      </c>
      <c r="F1884" s="241">
        <v>5</v>
      </c>
      <c r="G1884" s="3" t="s">
        <v>0</v>
      </c>
      <c r="H1884" s="3" t="s">
        <v>523</v>
      </c>
      <c r="I1884" s="3" t="s">
        <v>989</v>
      </c>
      <c r="J1884" s="4" t="s">
        <v>1180</v>
      </c>
      <c r="K1884" s="4" t="s">
        <v>1021</v>
      </c>
      <c r="L1884" s="3" t="s">
        <v>871</v>
      </c>
      <c r="M1884" s="72">
        <f t="shared" si="428"/>
        <v>515276.87</v>
      </c>
      <c r="N1884" s="72">
        <f t="shared" si="429"/>
        <v>103055.37</v>
      </c>
      <c r="O1884" s="161">
        <v>515276.87</v>
      </c>
      <c r="P1884" s="72">
        <v>268360</v>
      </c>
      <c r="Q1884" s="256">
        <f t="shared" si="432"/>
        <v>59039.199999999997</v>
      </c>
      <c r="R1884" s="256">
        <f t="shared" si="433"/>
        <v>327399.2</v>
      </c>
      <c r="S1884" s="296"/>
      <c r="T1884" s="3">
        <v>116</v>
      </c>
      <c r="U1884" s="294"/>
    </row>
    <row r="1885" spans="1:21" ht="33.75" customHeight="1" x14ac:dyDescent="0.35">
      <c r="A1885" s="218" t="s">
        <v>3263</v>
      </c>
      <c r="B1885" s="3">
        <v>1757</v>
      </c>
      <c r="C1885" s="18">
        <v>10108260</v>
      </c>
      <c r="D1885" s="19" t="s">
        <v>1022</v>
      </c>
      <c r="E1885" s="18" t="s">
        <v>2237</v>
      </c>
      <c r="F1885" s="241">
        <v>5</v>
      </c>
      <c r="G1885" s="3" t="s">
        <v>0</v>
      </c>
      <c r="H1885" s="3" t="s">
        <v>1158</v>
      </c>
      <c r="I1885" s="3" t="s">
        <v>989</v>
      </c>
      <c r="J1885" s="4" t="s">
        <v>1181</v>
      </c>
      <c r="K1885" s="4" t="s">
        <v>1022</v>
      </c>
      <c r="L1885" s="3" t="s">
        <v>871</v>
      </c>
      <c r="M1885" s="72">
        <f t="shared" si="428"/>
        <v>577235.79</v>
      </c>
      <c r="N1885" s="72">
        <f t="shared" si="429"/>
        <v>115447.16</v>
      </c>
      <c r="O1885" s="161">
        <v>577235.79</v>
      </c>
      <c r="P1885" s="72">
        <v>322420</v>
      </c>
      <c r="Q1885" s="256">
        <f t="shared" si="432"/>
        <v>70932.399999999994</v>
      </c>
      <c r="R1885" s="256">
        <f t="shared" si="433"/>
        <v>393352.4</v>
      </c>
      <c r="S1885" s="296"/>
      <c r="T1885" s="3">
        <v>116</v>
      </c>
      <c r="U1885" s="294"/>
    </row>
    <row r="1886" spans="1:21" ht="29.25" customHeight="1" x14ac:dyDescent="0.35">
      <c r="A1886" s="218" t="s">
        <v>3264</v>
      </c>
      <c r="B1886" s="3">
        <v>1758</v>
      </c>
      <c r="C1886" s="18">
        <v>10108301</v>
      </c>
      <c r="D1886" s="19" t="s">
        <v>1023</v>
      </c>
      <c r="E1886" s="18" t="s">
        <v>2237</v>
      </c>
      <c r="F1886" s="241">
        <v>4</v>
      </c>
      <c r="G1886" s="3" t="s">
        <v>0</v>
      </c>
      <c r="H1886" s="3" t="s">
        <v>1158</v>
      </c>
      <c r="I1886" s="3" t="s">
        <v>989</v>
      </c>
      <c r="J1886" s="4" t="s">
        <v>1182</v>
      </c>
      <c r="K1886" s="4" t="s">
        <v>1023</v>
      </c>
      <c r="L1886" s="3" t="s">
        <v>871</v>
      </c>
      <c r="M1886" s="72">
        <f t="shared" si="428"/>
        <v>459974.96</v>
      </c>
      <c r="N1886" s="72">
        <f t="shared" si="429"/>
        <v>114993.74</v>
      </c>
      <c r="O1886" s="161">
        <v>459974.96</v>
      </c>
      <c r="P1886" s="72">
        <v>256920</v>
      </c>
      <c r="Q1886" s="256">
        <f t="shared" si="432"/>
        <v>56522.400000000001</v>
      </c>
      <c r="R1886" s="256">
        <f t="shared" si="433"/>
        <v>313442.40000000002</v>
      </c>
      <c r="S1886" s="296"/>
      <c r="T1886" s="3">
        <v>116</v>
      </c>
      <c r="U1886" s="294"/>
    </row>
    <row r="1887" spans="1:21" ht="26.25" customHeight="1" x14ac:dyDescent="0.35">
      <c r="A1887" s="218" t="s">
        <v>3265</v>
      </c>
      <c r="B1887" s="3">
        <v>1759</v>
      </c>
      <c r="C1887" s="18">
        <v>10124525</v>
      </c>
      <c r="D1887" s="19" t="s">
        <v>412</v>
      </c>
      <c r="E1887" s="18" t="s">
        <v>2237</v>
      </c>
      <c r="F1887" s="241">
        <v>1</v>
      </c>
      <c r="G1887" s="3" t="s">
        <v>0</v>
      </c>
      <c r="H1887" s="3" t="s">
        <v>520</v>
      </c>
      <c r="I1887" s="3" t="s">
        <v>989</v>
      </c>
      <c r="J1887" s="4" t="s">
        <v>1183</v>
      </c>
      <c r="K1887" s="4" t="s">
        <v>412</v>
      </c>
      <c r="L1887" s="3" t="s">
        <v>871</v>
      </c>
      <c r="M1887" s="72">
        <f t="shared" si="428"/>
        <v>131866</v>
      </c>
      <c r="N1887" s="72">
        <f t="shared" si="429"/>
        <v>131866</v>
      </c>
      <c r="O1887" s="161">
        <v>131866</v>
      </c>
      <c r="P1887" s="72">
        <v>67390</v>
      </c>
      <c r="Q1887" s="256">
        <f t="shared" si="432"/>
        <v>14825.8</v>
      </c>
      <c r="R1887" s="256">
        <f t="shared" si="433"/>
        <v>82215.8</v>
      </c>
      <c r="S1887" s="296"/>
      <c r="T1887" s="3">
        <v>116</v>
      </c>
      <c r="U1887" s="294"/>
    </row>
    <row r="1888" spans="1:21" ht="31.5" customHeight="1" x14ac:dyDescent="0.35">
      <c r="A1888" s="218" t="s">
        <v>3266</v>
      </c>
      <c r="B1888" s="3">
        <v>1760</v>
      </c>
      <c r="C1888" s="18">
        <v>10108206</v>
      </c>
      <c r="D1888" s="19" t="s">
        <v>1024</v>
      </c>
      <c r="E1888" s="18" t="s">
        <v>2237</v>
      </c>
      <c r="F1888" s="241">
        <v>3</v>
      </c>
      <c r="G1888" s="3" t="s">
        <v>0</v>
      </c>
      <c r="H1888" s="3" t="s">
        <v>1158</v>
      </c>
      <c r="I1888" s="3" t="s">
        <v>989</v>
      </c>
      <c r="J1888" s="4" t="s">
        <v>1184</v>
      </c>
      <c r="K1888" s="4" t="s">
        <v>1024</v>
      </c>
      <c r="L1888" s="3" t="s">
        <v>871</v>
      </c>
      <c r="M1888" s="72">
        <f t="shared" si="428"/>
        <v>305627.89</v>
      </c>
      <c r="N1888" s="72">
        <f t="shared" si="429"/>
        <v>101875.96</v>
      </c>
      <c r="O1888" s="161">
        <v>305627.89</v>
      </c>
      <c r="P1888" s="72">
        <v>170710</v>
      </c>
      <c r="Q1888" s="256">
        <f t="shared" si="432"/>
        <v>37556.199999999997</v>
      </c>
      <c r="R1888" s="256">
        <f t="shared" si="433"/>
        <v>208266.2</v>
      </c>
      <c r="S1888" s="296"/>
      <c r="T1888" s="3">
        <v>116</v>
      </c>
      <c r="U1888" s="294"/>
    </row>
    <row r="1889" spans="1:21" ht="56.25" customHeight="1" x14ac:dyDescent="0.35">
      <c r="A1889" s="218" t="s">
        <v>3267</v>
      </c>
      <c r="B1889" s="3">
        <v>1761</v>
      </c>
      <c r="C1889" s="18">
        <v>10108218</v>
      </c>
      <c r="D1889" s="19" t="s">
        <v>1025</v>
      </c>
      <c r="E1889" s="18" t="s">
        <v>2237</v>
      </c>
      <c r="F1889" s="241">
        <v>8</v>
      </c>
      <c r="G1889" s="3" t="s">
        <v>0</v>
      </c>
      <c r="H1889" s="3" t="s">
        <v>1159</v>
      </c>
      <c r="I1889" s="3" t="s">
        <v>989</v>
      </c>
      <c r="J1889" s="4" t="s">
        <v>4184</v>
      </c>
      <c r="K1889" s="4" t="s">
        <v>1025</v>
      </c>
      <c r="L1889" s="3" t="s">
        <v>871</v>
      </c>
      <c r="M1889" s="72">
        <f t="shared" si="428"/>
        <v>927942.15</v>
      </c>
      <c r="N1889" s="72">
        <f t="shared" si="429"/>
        <v>115992.77</v>
      </c>
      <c r="O1889" s="161">
        <v>927942.15</v>
      </c>
      <c r="P1889" s="72">
        <v>483280</v>
      </c>
      <c r="Q1889" s="256">
        <f t="shared" si="432"/>
        <v>106321.60000000001</v>
      </c>
      <c r="R1889" s="256">
        <f t="shared" si="433"/>
        <v>589601.6</v>
      </c>
      <c r="S1889" s="296"/>
      <c r="T1889" s="3">
        <v>116</v>
      </c>
      <c r="U1889" s="294"/>
    </row>
    <row r="1890" spans="1:21" ht="27" customHeight="1" x14ac:dyDescent="0.35">
      <c r="A1890" s="218" t="s">
        <v>3268</v>
      </c>
      <c r="B1890" s="3">
        <v>1762</v>
      </c>
      <c r="C1890" s="18">
        <v>10124564</v>
      </c>
      <c r="D1890" s="19" t="s">
        <v>444</v>
      </c>
      <c r="E1890" s="18" t="s">
        <v>2237</v>
      </c>
      <c r="F1890" s="241">
        <v>2</v>
      </c>
      <c r="G1890" s="3" t="s">
        <v>0</v>
      </c>
      <c r="H1890" s="3" t="s">
        <v>523</v>
      </c>
      <c r="I1890" s="3" t="s">
        <v>989</v>
      </c>
      <c r="J1890" s="4" t="s">
        <v>1185</v>
      </c>
      <c r="K1890" s="4" t="s">
        <v>444</v>
      </c>
      <c r="L1890" s="3" t="s">
        <v>871</v>
      </c>
      <c r="M1890" s="72">
        <f t="shared" ref="M1890:M1923" si="434">O1890</f>
        <v>179687</v>
      </c>
      <c r="N1890" s="72">
        <f t="shared" ref="N1890:N1923" si="435">O1890/F1890</f>
        <v>89843.5</v>
      </c>
      <c r="O1890" s="161">
        <v>179687</v>
      </c>
      <c r="P1890" s="72">
        <v>93580</v>
      </c>
      <c r="Q1890" s="256">
        <f t="shared" ref="Q1890:Q1921" si="436">R1890-P1890</f>
        <v>20587.599999999999</v>
      </c>
      <c r="R1890" s="256">
        <f t="shared" ref="R1890:R1923" si="437">P1890*1.22</f>
        <v>114167.6</v>
      </c>
      <c r="S1890" s="296"/>
      <c r="T1890" s="3">
        <v>116</v>
      </c>
      <c r="U1890" s="294"/>
    </row>
    <row r="1891" spans="1:21" ht="30.65" customHeight="1" x14ac:dyDescent="0.35">
      <c r="A1891" s="218" t="s">
        <v>3269</v>
      </c>
      <c r="B1891" s="3">
        <v>1763</v>
      </c>
      <c r="C1891" s="18">
        <v>10124562</v>
      </c>
      <c r="D1891" s="19" t="s">
        <v>443</v>
      </c>
      <c r="E1891" s="18" t="s">
        <v>2237</v>
      </c>
      <c r="F1891" s="241">
        <v>2</v>
      </c>
      <c r="G1891" s="3" t="s">
        <v>0</v>
      </c>
      <c r="H1891" s="3" t="s">
        <v>520</v>
      </c>
      <c r="I1891" s="3" t="s">
        <v>989</v>
      </c>
      <c r="J1891" s="4" t="s">
        <v>1186</v>
      </c>
      <c r="K1891" s="4" t="s">
        <v>443</v>
      </c>
      <c r="L1891" s="3" t="s">
        <v>871</v>
      </c>
      <c r="M1891" s="72">
        <f t="shared" si="434"/>
        <v>184562</v>
      </c>
      <c r="N1891" s="72">
        <f t="shared" si="435"/>
        <v>92281</v>
      </c>
      <c r="O1891" s="161">
        <v>184562</v>
      </c>
      <c r="P1891" s="72">
        <v>94330</v>
      </c>
      <c r="Q1891" s="256">
        <f t="shared" si="436"/>
        <v>20752.599999999999</v>
      </c>
      <c r="R1891" s="256">
        <f t="shared" si="437"/>
        <v>115082.6</v>
      </c>
      <c r="S1891" s="296"/>
      <c r="T1891" s="3">
        <v>116</v>
      </c>
      <c r="U1891" s="294"/>
    </row>
    <row r="1892" spans="1:21" ht="30.65" customHeight="1" x14ac:dyDescent="0.35">
      <c r="A1892" s="218" t="s">
        <v>3270</v>
      </c>
      <c r="B1892" s="3">
        <v>1764</v>
      </c>
      <c r="C1892" s="18">
        <v>10108258</v>
      </c>
      <c r="D1892" s="19" t="s">
        <v>1026</v>
      </c>
      <c r="E1892" s="18" t="s">
        <v>2237</v>
      </c>
      <c r="F1892" s="241">
        <v>1</v>
      </c>
      <c r="G1892" s="3" t="s">
        <v>0</v>
      </c>
      <c r="H1892" s="3" t="s">
        <v>523</v>
      </c>
      <c r="I1892" s="3" t="s">
        <v>989</v>
      </c>
      <c r="J1892" s="4" t="s">
        <v>1187</v>
      </c>
      <c r="K1892" s="4" t="s">
        <v>1026</v>
      </c>
      <c r="L1892" s="3" t="s">
        <v>871</v>
      </c>
      <c r="M1892" s="72">
        <f t="shared" si="434"/>
        <v>86255.12</v>
      </c>
      <c r="N1892" s="72">
        <f t="shared" si="435"/>
        <v>86255.12</v>
      </c>
      <c r="O1892" s="161">
        <v>86255.12</v>
      </c>
      <c r="P1892" s="72">
        <v>44920</v>
      </c>
      <c r="Q1892" s="256">
        <f t="shared" si="436"/>
        <v>9882.4</v>
      </c>
      <c r="R1892" s="256">
        <f t="shared" si="437"/>
        <v>54802.400000000001</v>
      </c>
      <c r="S1892" s="296"/>
      <c r="T1892" s="3">
        <v>116</v>
      </c>
      <c r="U1892" s="294"/>
    </row>
    <row r="1893" spans="1:21" ht="30.65" customHeight="1" x14ac:dyDescent="0.35">
      <c r="A1893" s="218" t="s">
        <v>3271</v>
      </c>
      <c r="B1893" s="3">
        <v>1765</v>
      </c>
      <c r="C1893" s="18">
        <v>10124563</v>
      </c>
      <c r="D1893" s="19" t="s">
        <v>414</v>
      </c>
      <c r="E1893" s="18" t="s">
        <v>2237</v>
      </c>
      <c r="F1893" s="241">
        <v>1</v>
      </c>
      <c r="G1893" s="3" t="s">
        <v>0</v>
      </c>
      <c r="H1893" s="3" t="s">
        <v>520</v>
      </c>
      <c r="I1893" s="3" t="s">
        <v>989</v>
      </c>
      <c r="J1893" s="4" t="s">
        <v>1188</v>
      </c>
      <c r="K1893" s="4" t="s">
        <v>414</v>
      </c>
      <c r="L1893" s="3" t="s">
        <v>871</v>
      </c>
      <c r="M1893" s="72">
        <f t="shared" si="434"/>
        <v>93647</v>
      </c>
      <c r="N1893" s="72">
        <f t="shared" si="435"/>
        <v>93647</v>
      </c>
      <c r="O1893" s="161">
        <v>93647</v>
      </c>
      <c r="P1893" s="72">
        <v>47860</v>
      </c>
      <c r="Q1893" s="256">
        <f t="shared" si="436"/>
        <v>10529.2</v>
      </c>
      <c r="R1893" s="256">
        <f t="shared" si="437"/>
        <v>58389.2</v>
      </c>
      <c r="S1893" s="296"/>
      <c r="T1893" s="3">
        <v>116</v>
      </c>
      <c r="U1893" s="294"/>
    </row>
    <row r="1894" spans="1:21" ht="43.5" customHeight="1" x14ac:dyDescent="0.35">
      <c r="A1894" s="218" t="s">
        <v>3272</v>
      </c>
      <c r="B1894" s="3">
        <v>1766</v>
      </c>
      <c r="C1894" s="18">
        <v>10108237</v>
      </c>
      <c r="D1894" s="19" t="s">
        <v>1027</v>
      </c>
      <c r="E1894" s="18" t="s">
        <v>2237</v>
      </c>
      <c r="F1894" s="241">
        <v>7</v>
      </c>
      <c r="G1894" s="3" t="s">
        <v>0</v>
      </c>
      <c r="H1894" s="3" t="s">
        <v>523</v>
      </c>
      <c r="I1894" s="3" t="s">
        <v>989</v>
      </c>
      <c r="J1894" s="4" t="s">
        <v>1189</v>
      </c>
      <c r="K1894" s="4" t="s">
        <v>1027</v>
      </c>
      <c r="L1894" s="3" t="s">
        <v>871</v>
      </c>
      <c r="M1894" s="72">
        <f t="shared" si="434"/>
        <v>539062.24</v>
      </c>
      <c r="N1894" s="72">
        <f t="shared" si="435"/>
        <v>77008.89</v>
      </c>
      <c r="O1894" s="161">
        <v>539062.24</v>
      </c>
      <c r="P1894" s="72">
        <v>280750</v>
      </c>
      <c r="Q1894" s="256">
        <f t="shared" si="436"/>
        <v>61765</v>
      </c>
      <c r="R1894" s="256">
        <f t="shared" si="437"/>
        <v>342515</v>
      </c>
      <c r="S1894" s="296"/>
      <c r="T1894" s="3">
        <v>116</v>
      </c>
      <c r="U1894" s="294"/>
    </row>
    <row r="1895" spans="1:21" ht="30" customHeight="1" x14ac:dyDescent="0.35">
      <c r="A1895" s="218" t="s">
        <v>3273</v>
      </c>
      <c r="B1895" s="3">
        <v>1767</v>
      </c>
      <c r="C1895" s="18">
        <v>10108239</v>
      </c>
      <c r="D1895" s="19" t="s">
        <v>1028</v>
      </c>
      <c r="E1895" s="18" t="s">
        <v>2237</v>
      </c>
      <c r="F1895" s="241">
        <v>1</v>
      </c>
      <c r="G1895" s="3" t="s">
        <v>0</v>
      </c>
      <c r="H1895" s="3" t="s">
        <v>523</v>
      </c>
      <c r="I1895" s="3" t="s">
        <v>989</v>
      </c>
      <c r="J1895" s="4" t="s">
        <v>982</v>
      </c>
      <c r="K1895" s="4" t="s">
        <v>1028</v>
      </c>
      <c r="L1895" s="3" t="s">
        <v>871</v>
      </c>
      <c r="M1895" s="72">
        <f t="shared" si="434"/>
        <v>92855</v>
      </c>
      <c r="N1895" s="72">
        <f t="shared" si="435"/>
        <v>92855</v>
      </c>
      <c r="O1895" s="161">
        <v>92855</v>
      </c>
      <c r="P1895" s="72">
        <v>48360</v>
      </c>
      <c r="Q1895" s="256">
        <f t="shared" si="436"/>
        <v>10639.2</v>
      </c>
      <c r="R1895" s="256">
        <f t="shared" si="437"/>
        <v>58999.199999999997</v>
      </c>
      <c r="S1895" s="296"/>
      <c r="T1895" s="3">
        <v>116</v>
      </c>
      <c r="U1895" s="294"/>
    </row>
    <row r="1896" spans="1:21" ht="36" customHeight="1" x14ac:dyDescent="0.35">
      <c r="A1896" s="218" t="s">
        <v>3274</v>
      </c>
      <c r="B1896" s="3">
        <v>1768</v>
      </c>
      <c r="C1896" s="18">
        <v>10108238</v>
      </c>
      <c r="D1896" s="19" t="s">
        <v>1029</v>
      </c>
      <c r="E1896" s="18" t="s">
        <v>2237</v>
      </c>
      <c r="F1896" s="241">
        <v>5</v>
      </c>
      <c r="G1896" s="3" t="s">
        <v>0</v>
      </c>
      <c r="H1896" s="3" t="s">
        <v>523</v>
      </c>
      <c r="I1896" s="3" t="s">
        <v>989</v>
      </c>
      <c r="J1896" s="4" t="s">
        <v>1190</v>
      </c>
      <c r="K1896" s="4" t="s">
        <v>1029</v>
      </c>
      <c r="L1896" s="3" t="s">
        <v>871</v>
      </c>
      <c r="M1896" s="72">
        <f t="shared" si="434"/>
        <v>499910.75</v>
      </c>
      <c r="N1896" s="72">
        <f t="shared" si="435"/>
        <v>99982.15</v>
      </c>
      <c r="O1896" s="161">
        <v>499910.75</v>
      </c>
      <c r="P1896" s="72">
        <v>260360</v>
      </c>
      <c r="Q1896" s="256">
        <f t="shared" si="436"/>
        <v>57279.199999999997</v>
      </c>
      <c r="R1896" s="256">
        <f t="shared" si="437"/>
        <v>317639.2</v>
      </c>
      <c r="S1896" s="296"/>
      <c r="T1896" s="3">
        <v>116</v>
      </c>
      <c r="U1896" s="294"/>
    </row>
    <row r="1897" spans="1:21" ht="60" customHeight="1" x14ac:dyDescent="0.35">
      <c r="A1897" s="218" t="s">
        <v>3275</v>
      </c>
      <c r="B1897" s="3">
        <v>1769</v>
      </c>
      <c r="C1897" s="18">
        <v>10108275</v>
      </c>
      <c r="D1897" s="19" t="s">
        <v>1030</v>
      </c>
      <c r="E1897" s="18" t="s">
        <v>2237</v>
      </c>
      <c r="F1897" s="241">
        <v>7</v>
      </c>
      <c r="G1897" s="3" t="s">
        <v>0</v>
      </c>
      <c r="H1897" s="3" t="s">
        <v>523</v>
      </c>
      <c r="I1897" s="3" t="s">
        <v>989</v>
      </c>
      <c r="J1897" s="4" t="s">
        <v>1191</v>
      </c>
      <c r="K1897" s="4" t="s">
        <v>1030</v>
      </c>
      <c r="L1897" s="3" t="s">
        <v>871</v>
      </c>
      <c r="M1897" s="72">
        <f t="shared" si="434"/>
        <v>678414.31</v>
      </c>
      <c r="N1897" s="72">
        <f t="shared" si="435"/>
        <v>96916.33</v>
      </c>
      <c r="O1897" s="161">
        <v>678414.31</v>
      </c>
      <c r="P1897" s="72">
        <v>353320</v>
      </c>
      <c r="Q1897" s="256">
        <f t="shared" si="436"/>
        <v>77730.399999999994</v>
      </c>
      <c r="R1897" s="256">
        <f t="shared" si="437"/>
        <v>431050.4</v>
      </c>
      <c r="S1897" s="296"/>
      <c r="T1897" s="3">
        <v>116</v>
      </c>
      <c r="U1897" s="294"/>
    </row>
    <row r="1898" spans="1:21" ht="39" customHeight="1" x14ac:dyDescent="0.35">
      <c r="A1898" s="218" t="s">
        <v>3276</v>
      </c>
      <c r="B1898" s="3">
        <v>1770</v>
      </c>
      <c r="C1898" s="18">
        <v>10108302</v>
      </c>
      <c r="D1898" s="19" t="s">
        <v>1031</v>
      </c>
      <c r="E1898" s="18" t="s">
        <v>2237</v>
      </c>
      <c r="F1898" s="241">
        <v>4</v>
      </c>
      <c r="G1898" s="3" t="s">
        <v>0</v>
      </c>
      <c r="H1898" s="3" t="s">
        <v>523</v>
      </c>
      <c r="I1898" s="3" t="s">
        <v>989</v>
      </c>
      <c r="J1898" s="4" t="s">
        <v>1192</v>
      </c>
      <c r="K1898" s="4" t="s">
        <v>1031</v>
      </c>
      <c r="L1898" s="3" t="s">
        <v>871</v>
      </c>
      <c r="M1898" s="72">
        <f t="shared" si="434"/>
        <v>381822.71</v>
      </c>
      <c r="N1898" s="72">
        <f t="shared" si="435"/>
        <v>95455.679999999993</v>
      </c>
      <c r="O1898" s="161">
        <v>381822.71</v>
      </c>
      <c r="P1898" s="72">
        <v>198860</v>
      </c>
      <c r="Q1898" s="256">
        <f t="shared" si="436"/>
        <v>43749.2</v>
      </c>
      <c r="R1898" s="256">
        <f t="shared" si="437"/>
        <v>242609.2</v>
      </c>
      <c r="S1898" s="296"/>
      <c r="T1898" s="3">
        <v>116</v>
      </c>
      <c r="U1898" s="294"/>
    </row>
    <row r="1899" spans="1:21" ht="46.5" customHeight="1" x14ac:dyDescent="0.35">
      <c r="A1899" s="218" t="s">
        <v>3277</v>
      </c>
      <c r="B1899" s="3">
        <v>1771</v>
      </c>
      <c r="C1899" s="18">
        <v>10108216</v>
      </c>
      <c r="D1899" s="19" t="s">
        <v>1032</v>
      </c>
      <c r="E1899" s="18" t="s">
        <v>2237</v>
      </c>
      <c r="F1899" s="241">
        <v>8</v>
      </c>
      <c r="G1899" s="3" t="s">
        <v>0</v>
      </c>
      <c r="H1899" s="3" t="s">
        <v>523</v>
      </c>
      <c r="I1899" s="3" t="s">
        <v>989</v>
      </c>
      <c r="J1899" s="4" t="s">
        <v>1193</v>
      </c>
      <c r="K1899" s="4" t="s">
        <v>1032</v>
      </c>
      <c r="L1899" s="3" t="s">
        <v>871</v>
      </c>
      <c r="M1899" s="72">
        <f t="shared" si="434"/>
        <v>765230.97</v>
      </c>
      <c r="N1899" s="72">
        <f t="shared" si="435"/>
        <v>95653.87</v>
      </c>
      <c r="O1899" s="161">
        <v>765230.97</v>
      </c>
      <c r="P1899" s="72">
        <v>398540</v>
      </c>
      <c r="Q1899" s="256">
        <f t="shared" si="436"/>
        <v>87678.8</v>
      </c>
      <c r="R1899" s="256">
        <f t="shared" si="437"/>
        <v>486218.8</v>
      </c>
      <c r="S1899" s="296"/>
      <c r="T1899" s="3">
        <v>116</v>
      </c>
      <c r="U1899" s="294"/>
    </row>
    <row r="1900" spans="1:21" ht="27" customHeight="1" x14ac:dyDescent="0.35">
      <c r="A1900" s="218" t="s">
        <v>3278</v>
      </c>
      <c r="B1900" s="3">
        <v>1772</v>
      </c>
      <c r="C1900" s="18">
        <v>10108283</v>
      </c>
      <c r="D1900" s="19" t="s">
        <v>1033</v>
      </c>
      <c r="E1900" s="18" t="s">
        <v>2237</v>
      </c>
      <c r="F1900" s="241">
        <v>3</v>
      </c>
      <c r="G1900" s="3" t="s">
        <v>0</v>
      </c>
      <c r="H1900" s="3" t="s">
        <v>523</v>
      </c>
      <c r="I1900" s="3" t="s">
        <v>989</v>
      </c>
      <c r="J1900" s="4" t="s">
        <v>1194</v>
      </c>
      <c r="K1900" s="4" t="s">
        <v>1033</v>
      </c>
      <c r="L1900" s="3" t="s">
        <v>871</v>
      </c>
      <c r="M1900" s="72">
        <f t="shared" si="434"/>
        <v>303532.52</v>
      </c>
      <c r="N1900" s="72">
        <f t="shared" si="435"/>
        <v>101177.51</v>
      </c>
      <c r="O1900" s="161">
        <v>303532.52</v>
      </c>
      <c r="P1900" s="72">
        <v>158080</v>
      </c>
      <c r="Q1900" s="256">
        <f t="shared" si="436"/>
        <v>34777.599999999999</v>
      </c>
      <c r="R1900" s="256">
        <f t="shared" si="437"/>
        <v>192857.60000000001</v>
      </c>
      <c r="S1900" s="296"/>
      <c r="T1900" s="3">
        <v>116</v>
      </c>
      <c r="U1900" s="294"/>
    </row>
    <row r="1901" spans="1:21" ht="46.5" customHeight="1" x14ac:dyDescent="0.35">
      <c r="A1901" s="218" t="s">
        <v>3279</v>
      </c>
      <c r="B1901" s="3">
        <v>1773</v>
      </c>
      <c r="C1901" s="18">
        <v>10108246</v>
      </c>
      <c r="D1901" s="19" t="s">
        <v>1034</v>
      </c>
      <c r="E1901" s="18" t="s">
        <v>2237</v>
      </c>
      <c r="F1901" s="241">
        <v>8</v>
      </c>
      <c r="G1901" s="3" t="s">
        <v>0</v>
      </c>
      <c r="H1901" s="3" t="s">
        <v>523</v>
      </c>
      <c r="I1901" s="3" t="s">
        <v>989</v>
      </c>
      <c r="J1901" s="4" t="s">
        <v>1195</v>
      </c>
      <c r="K1901" s="4" t="s">
        <v>1034</v>
      </c>
      <c r="L1901" s="3" t="s">
        <v>871</v>
      </c>
      <c r="M1901" s="72">
        <f t="shared" si="434"/>
        <v>781808.8</v>
      </c>
      <c r="N1901" s="72">
        <f t="shared" si="435"/>
        <v>97726.1</v>
      </c>
      <c r="O1901" s="161">
        <v>781808.8</v>
      </c>
      <c r="P1901" s="72">
        <v>407170</v>
      </c>
      <c r="Q1901" s="256">
        <f t="shared" si="436"/>
        <v>89577.4</v>
      </c>
      <c r="R1901" s="256">
        <f t="shared" si="437"/>
        <v>496747.4</v>
      </c>
      <c r="S1901" s="296"/>
      <c r="T1901" s="3">
        <v>116</v>
      </c>
      <c r="U1901" s="294"/>
    </row>
    <row r="1902" spans="1:21" ht="43.5" customHeight="1" x14ac:dyDescent="0.35">
      <c r="A1902" s="218" t="s">
        <v>3280</v>
      </c>
      <c r="B1902" s="3">
        <v>1774</v>
      </c>
      <c r="C1902" s="18">
        <v>10108280</v>
      </c>
      <c r="D1902" s="19" t="s">
        <v>1035</v>
      </c>
      <c r="E1902" s="18" t="s">
        <v>2237</v>
      </c>
      <c r="F1902" s="241">
        <v>5</v>
      </c>
      <c r="G1902" s="3" t="s">
        <v>0</v>
      </c>
      <c r="H1902" s="3" t="s">
        <v>523</v>
      </c>
      <c r="I1902" s="3" t="s">
        <v>989</v>
      </c>
      <c r="J1902" s="4" t="s">
        <v>1196</v>
      </c>
      <c r="K1902" s="4" t="s">
        <v>1035</v>
      </c>
      <c r="L1902" s="3" t="s">
        <v>871</v>
      </c>
      <c r="M1902" s="72">
        <f t="shared" si="434"/>
        <v>518352.07</v>
      </c>
      <c r="N1902" s="72">
        <f t="shared" si="435"/>
        <v>103670.41</v>
      </c>
      <c r="O1902" s="161">
        <v>518352.07</v>
      </c>
      <c r="P1902" s="72">
        <v>269960</v>
      </c>
      <c r="Q1902" s="256">
        <f t="shared" si="436"/>
        <v>59391.199999999997</v>
      </c>
      <c r="R1902" s="256">
        <f t="shared" si="437"/>
        <v>329351.2</v>
      </c>
      <c r="S1902" s="296"/>
      <c r="T1902" s="3">
        <v>116</v>
      </c>
      <c r="U1902" s="294"/>
    </row>
    <row r="1903" spans="1:21" ht="32.25" customHeight="1" x14ac:dyDescent="0.35">
      <c r="A1903" s="218" t="s">
        <v>3281</v>
      </c>
      <c r="B1903" s="3">
        <v>1775</v>
      </c>
      <c r="C1903" s="18">
        <v>10108217</v>
      </c>
      <c r="D1903" s="19" t="s">
        <v>1036</v>
      </c>
      <c r="E1903" s="18" t="s">
        <v>2237</v>
      </c>
      <c r="F1903" s="241">
        <v>6</v>
      </c>
      <c r="G1903" s="3" t="s">
        <v>0</v>
      </c>
      <c r="H1903" s="3" t="s">
        <v>1159</v>
      </c>
      <c r="I1903" s="3" t="s">
        <v>989</v>
      </c>
      <c r="J1903" s="4" t="s">
        <v>1197</v>
      </c>
      <c r="K1903" s="4" t="s">
        <v>1036</v>
      </c>
      <c r="L1903" s="3" t="s">
        <v>871</v>
      </c>
      <c r="M1903" s="72">
        <f t="shared" si="434"/>
        <v>647532.39</v>
      </c>
      <c r="N1903" s="72">
        <f t="shared" si="435"/>
        <v>107922.07</v>
      </c>
      <c r="O1903" s="161">
        <v>647532.39</v>
      </c>
      <c r="P1903" s="72">
        <v>337240</v>
      </c>
      <c r="Q1903" s="256">
        <f t="shared" si="436"/>
        <v>74192.800000000003</v>
      </c>
      <c r="R1903" s="256">
        <f t="shared" si="437"/>
        <v>411432.8</v>
      </c>
      <c r="S1903" s="296"/>
      <c r="T1903" s="3">
        <v>116</v>
      </c>
      <c r="U1903" s="294"/>
    </row>
    <row r="1904" spans="1:21" ht="42" customHeight="1" x14ac:dyDescent="0.35">
      <c r="A1904" s="218" t="s">
        <v>3282</v>
      </c>
      <c r="B1904" s="3">
        <v>1776</v>
      </c>
      <c r="C1904" s="18">
        <v>10108300</v>
      </c>
      <c r="D1904" s="19" t="s">
        <v>1037</v>
      </c>
      <c r="E1904" s="18" t="s">
        <v>2237</v>
      </c>
      <c r="F1904" s="241">
        <v>7</v>
      </c>
      <c r="G1904" s="3" t="s">
        <v>0</v>
      </c>
      <c r="H1904" s="3" t="s">
        <v>523</v>
      </c>
      <c r="I1904" s="3" t="s">
        <v>989</v>
      </c>
      <c r="J1904" s="4" t="s">
        <v>1198</v>
      </c>
      <c r="K1904" s="4" t="s">
        <v>1037</v>
      </c>
      <c r="L1904" s="3" t="s">
        <v>871</v>
      </c>
      <c r="M1904" s="72">
        <f t="shared" si="434"/>
        <v>742786.32</v>
      </c>
      <c r="N1904" s="72">
        <f t="shared" si="435"/>
        <v>106112.33</v>
      </c>
      <c r="O1904" s="161">
        <v>742786.32</v>
      </c>
      <c r="P1904" s="72">
        <v>386850</v>
      </c>
      <c r="Q1904" s="256">
        <f t="shared" si="436"/>
        <v>85107</v>
      </c>
      <c r="R1904" s="256">
        <f t="shared" si="437"/>
        <v>471957</v>
      </c>
      <c r="S1904" s="296"/>
      <c r="T1904" s="3">
        <v>116</v>
      </c>
      <c r="U1904" s="294"/>
    </row>
    <row r="1905" spans="1:21" ht="43.5" customHeight="1" x14ac:dyDescent="0.35">
      <c r="A1905" s="218" t="s">
        <v>3283</v>
      </c>
      <c r="B1905" s="3">
        <v>1777</v>
      </c>
      <c r="C1905" s="18">
        <v>10118601</v>
      </c>
      <c r="D1905" s="19" t="s">
        <v>1038</v>
      </c>
      <c r="E1905" s="18" t="s">
        <v>2237</v>
      </c>
      <c r="F1905" s="241">
        <v>7</v>
      </c>
      <c r="G1905" s="3" t="s">
        <v>0</v>
      </c>
      <c r="H1905" s="3" t="s">
        <v>523</v>
      </c>
      <c r="I1905" s="3" t="s">
        <v>989</v>
      </c>
      <c r="J1905" s="4" t="s">
        <v>1199</v>
      </c>
      <c r="K1905" s="4" t="s">
        <v>1038</v>
      </c>
      <c r="L1905" s="3" t="s">
        <v>871</v>
      </c>
      <c r="M1905" s="72">
        <f t="shared" si="434"/>
        <v>750452.09</v>
      </c>
      <c r="N1905" s="72">
        <f t="shared" si="435"/>
        <v>107207.44</v>
      </c>
      <c r="O1905" s="161">
        <v>750452.09</v>
      </c>
      <c r="P1905" s="72">
        <v>390840</v>
      </c>
      <c r="Q1905" s="256">
        <f t="shared" si="436"/>
        <v>85984.8</v>
      </c>
      <c r="R1905" s="256">
        <f t="shared" si="437"/>
        <v>476824.8</v>
      </c>
      <c r="S1905" s="296"/>
      <c r="T1905" s="3">
        <v>116</v>
      </c>
      <c r="U1905" s="294"/>
    </row>
    <row r="1906" spans="1:21" ht="30" customHeight="1" x14ac:dyDescent="0.35">
      <c r="A1906" s="218" t="s">
        <v>3284</v>
      </c>
      <c r="B1906" s="3">
        <v>1778</v>
      </c>
      <c r="C1906" s="18">
        <v>10124640</v>
      </c>
      <c r="D1906" s="19" t="s">
        <v>445</v>
      </c>
      <c r="E1906" s="18" t="s">
        <v>2237</v>
      </c>
      <c r="F1906" s="241">
        <v>2</v>
      </c>
      <c r="G1906" s="3" t="s">
        <v>0</v>
      </c>
      <c r="H1906" s="3" t="s">
        <v>520</v>
      </c>
      <c r="I1906" s="3" t="s">
        <v>989</v>
      </c>
      <c r="J1906" s="3" t="s">
        <v>1200</v>
      </c>
      <c r="K1906" s="4" t="s">
        <v>445</v>
      </c>
      <c r="L1906" s="3" t="s">
        <v>871</v>
      </c>
      <c r="M1906" s="72">
        <f t="shared" si="434"/>
        <v>195624</v>
      </c>
      <c r="N1906" s="72">
        <f t="shared" si="435"/>
        <v>97812</v>
      </c>
      <c r="O1906" s="161">
        <v>195624</v>
      </c>
      <c r="P1906" s="72">
        <v>99980</v>
      </c>
      <c r="Q1906" s="256">
        <f t="shared" si="436"/>
        <v>21995.599999999999</v>
      </c>
      <c r="R1906" s="256">
        <f t="shared" si="437"/>
        <v>121975.6</v>
      </c>
      <c r="S1906" s="296"/>
      <c r="T1906" s="3">
        <v>116</v>
      </c>
      <c r="U1906" s="294"/>
    </row>
    <row r="1907" spans="1:21" ht="31.5" customHeight="1" x14ac:dyDescent="0.35">
      <c r="A1907" s="218" t="s">
        <v>3285</v>
      </c>
      <c r="B1907" s="3">
        <v>1779</v>
      </c>
      <c r="C1907" s="18">
        <v>10124579</v>
      </c>
      <c r="D1907" s="19" t="s">
        <v>415</v>
      </c>
      <c r="E1907" s="18" t="s">
        <v>2237</v>
      </c>
      <c r="F1907" s="241">
        <v>1</v>
      </c>
      <c r="G1907" s="3" t="s">
        <v>0</v>
      </c>
      <c r="H1907" s="3" t="s">
        <v>520</v>
      </c>
      <c r="I1907" s="3" t="s">
        <v>989</v>
      </c>
      <c r="J1907" s="3" t="s">
        <v>1201</v>
      </c>
      <c r="K1907" s="4" t="s">
        <v>415</v>
      </c>
      <c r="L1907" s="3" t="s">
        <v>871</v>
      </c>
      <c r="M1907" s="72">
        <f t="shared" si="434"/>
        <v>98748</v>
      </c>
      <c r="N1907" s="72">
        <f t="shared" si="435"/>
        <v>98748</v>
      </c>
      <c r="O1907" s="161">
        <v>98748</v>
      </c>
      <c r="P1907" s="72">
        <v>50470</v>
      </c>
      <c r="Q1907" s="256">
        <f t="shared" si="436"/>
        <v>11103.4</v>
      </c>
      <c r="R1907" s="256">
        <f t="shared" si="437"/>
        <v>61573.4</v>
      </c>
      <c r="S1907" s="296"/>
      <c r="T1907" s="3">
        <v>116</v>
      </c>
      <c r="U1907" s="294"/>
    </row>
    <row r="1908" spans="1:21" ht="33" customHeight="1" x14ac:dyDescent="0.35">
      <c r="A1908" s="218" t="s">
        <v>3286</v>
      </c>
      <c r="B1908" s="3">
        <v>1780</v>
      </c>
      <c r="C1908" s="18">
        <v>10124641</v>
      </c>
      <c r="D1908" s="19" t="s">
        <v>419</v>
      </c>
      <c r="E1908" s="18" t="s">
        <v>2237</v>
      </c>
      <c r="F1908" s="241">
        <v>1</v>
      </c>
      <c r="G1908" s="3" t="s">
        <v>0</v>
      </c>
      <c r="H1908" s="3" t="s">
        <v>520</v>
      </c>
      <c r="I1908" s="3" t="s">
        <v>989</v>
      </c>
      <c r="J1908" s="3" t="s">
        <v>1202</v>
      </c>
      <c r="K1908" s="4" t="s">
        <v>419</v>
      </c>
      <c r="L1908" s="3" t="s">
        <v>871</v>
      </c>
      <c r="M1908" s="72">
        <f t="shared" si="434"/>
        <v>101667</v>
      </c>
      <c r="N1908" s="72">
        <f t="shared" si="435"/>
        <v>101667</v>
      </c>
      <c r="O1908" s="161">
        <v>101667</v>
      </c>
      <c r="P1908" s="72">
        <v>51960</v>
      </c>
      <c r="Q1908" s="256">
        <f t="shared" si="436"/>
        <v>11431.2</v>
      </c>
      <c r="R1908" s="256">
        <f t="shared" si="437"/>
        <v>63391.199999999997</v>
      </c>
      <c r="S1908" s="296"/>
      <c r="T1908" s="3">
        <v>116</v>
      </c>
      <c r="U1908" s="294"/>
    </row>
    <row r="1909" spans="1:21" ht="15" customHeight="1" x14ac:dyDescent="0.35">
      <c r="A1909" s="218" t="s">
        <v>3872</v>
      </c>
      <c r="B1909" s="3">
        <v>1781</v>
      </c>
      <c r="C1909" s="18">
        <v>102001224</v>
      </c>
      <c r="D1909" s="19" t="s">
        <v>1538</v>
      </c>
      <c r="E1909" s="18" t="s">
        <v>2027</v>
      </c>
      <c r="F1909" s="241">
        <v>1</v>
      </c>
      <c r="G1909" s="3" t="s">
        <v>0</v>
      </c>
      <c r="H1909" s="3">
        <v>2015</v>
      </c>
      <c r="I1909" s="3" t="s">
        <v>984</v>
      </c>
      <c r="J1909" s="3" t="s">
        <v>1962</v>
      </c>
      <c r="K1909" s="4" t="s">
        <v>988</v>
      </c>
      <c r="L1909" s="3" t="s">
        <v>977</v>
      </c>
      <c r="M1909" s="72">
        <f t="shared" si="434"/>
        <v>40864</v>
      </c>
      <c r="N1909" s="72">
        <f t="shared" si="435"/>
        <v>40864</v>
      </c>
      <c r="O1909" s="161">
        <v>40864</v>
      </c>
      <c r="P1909" s="72">
        <v>32520</v>
      </c>
      <c r="Q1909" s="256">
        <f t="shared" si="436"/>
        <v>7154.4</v>
      </c>
      <c r="R1909" s="256">
        <f t="shared" si="437"/>
        <v>39674.400000000001</v>
      </c>
      <c r="S1909" s="296"/>
      <c r="T1909" s="3">
        <v>116</v>
      </c>
      <c r="U1909" s="294"/>
    </row>
    <row r="1910" spans="1:21" ht="15" customHeight="1" x14ac:dyDescent="0.35">
      <c r="A1910" s="218" t="s">
        <v>3873</v>
      </c>
      <c r="B1910" s="3">
        <v>1782</v>
      </c>
      <c r="C1910" s="18">
        <v>102000770</v>
      </c>
      <c r="D1910" s="19" t="s">
        <v>1539</v>
      </c>
      <c r="E1910" s="18" t="s">
        <v>2027</v>
      </c>
      <c r="F1910" s="241">
        <v>1</v>
      </c>
      <c r="G1910" s="3" t="s">
        <v>0</v>
      </c>
      <c r="H1910" s="3">
        <v>2015</v>
      </c>
      <c r="I1910" s="3" t="s">
        <v>984</v>
      </c>
      <c r="J1910" s="3" t="s">
        <v>1962</v>
      </c>
      <c r="K1910" s="4" t="s">
        <v>988</v>
      </c>
      <c r="L1910" s="3" t="s">
        <v>977</v>
      </c>
      <c r="M1910" s="72">
        <f t="shared" si="434"/>
        <v>45494.400000000001</v>
      </c>
      <c r="N1910" s="72">
        <f t="shared" si="435"/>
        <v>45494.400000000001</v>
      </c>
      <c r="O1910" s="161">
        <v>45494.400000000001</v>
      </c>
      <c r="P1910" s="72">
        <v>36210</v>
      </c>
      <c r="Q1910" s="256">
        <f t="shared" si="436"/>
        <v>7966.2</v>
      </c>
      <c r="R1910" s="256">
        <f t="shared" si="437"/>
        <v>44176.2</v>
      </c>
      <c r="S1910" s="296"/>
      <c r="T1910" s="3">
        <v>116</v>
      </c>
      <c r="U1910" s="294"/>
    </row>
    <row r="1911" spans="1:21" ht="15" customHeight="1" x14ac:dyDescent="0.35">
      <c r="A1911" s="218" t="s">
        <v>3874</v>
      </c>
      <c r="B1911" s="3">
        <v>1783</v>
      </c>
      <c r="C1911" s="18">
        <v>102001121</v>
      </c>
      <c r="D1911" s="19" t="s">
        <v>1540</v>
      </c>
      <c r="E1911" s="18" t="s">
        <v>2027</v>
      </c>
      <c r="F1911" s="241">
        <v>2</v>
      </c>
      <c r="G1911" s="3" t="s">
        <v>0</v>
      </c>
      <c r="H1911" s="3">
        <v>2015</v>
      </c>
      <c r="I1911" s="3" t="s">
        <v>984</v>
      </c>
      <c r="J1911" s="3" t="s">
        <v>1962</v>
      </c>
      <c r="K1911" s="4" t="s">
        <v>988</v>
      </c>
      <c r="L1911" s="3" t="s">
        <v>977</v>
      </c>
      <c r="M1911" s="72">
        <f t="shared" si="434"/>
        <v>112976</v>
      </c>
      <c r="N1911" s="72">
        <f t="shared" si="435"/>
        <v>56488</v>
      </c>
      <c r="O1911" s="161">
        <v>112976</v>
      </c>
      <c r="P1911" s="72">
        <v>89920</v>
      </c>
      <c r="Q1911" s="256">
        <f t="shared" si="436"/>
        <v>19782.400000000001</v>
      </c>
      <c r="R1911" s="256">
        <f t="shared" si="437"/>
        <v>109702.39999999999</v>
      </c>
      <c r="S1911" s="296"/>
      <c r="T1911" s="3">
        <v>116</v>
      </c>
      <c r="U1911" s="294"/>
    </row>
    <row r="1912" spans="1:21" ht="15" customHeight="1" x14ac:dyDescent="0.35">
      <c r="A1912" s="218" t="s">
        <v>3875</v>
      </c>
      <c r="B1912" s="3">
        <v>1784</v>
      </c>
      <c r="C1912" s="18">
        <v>10108236</v>
      </c>
      <c r="D1912" s="19" t="s">
        <v>1007</v>
      </c>
      <c r="E1912" s="18" t="s">
        <v>2027</v>
      </c>
      <c r="F1912" s="241">
        <v>2</v>
      </c>
      <c r="G1912" s="3" t="s">
        <v>0</v>
      </c>
      <c r="H1912" s="3">
        <v>42004</v>
      </c>
      <c r="I1912" s="3" t="s">
        <v>984</v>
      </c>
      <c r="J1912" s="3" t="s">
        <v>1962</v>
      </c>
      <c r="K1912" s="4" t="s">
        <v>988</v>
      </c>
      <c r="L1912" s="3" t="s">
        <v>977</v>
      </c>
      <c r="M1912" s="72">
        <f t="shared" si="434"/>
        <v>57888</v>
      </c>
      <c r="N1912" s="72">
        <f t="shared" si="435"/>
        <v>28944</v>
      </c>
      <c r="O1912" s="161">
        <v>57888</v>
      </c>
      <c r="P1912" s="72">
        <v>49000</v>
      </c>
      <c r="Q1912" s="256">
        <f t="shared" si="436"/>
        <v>10780</v>
      </c>
      <c r="R1912" s="256">
        <f t="shared" si="437"/>
        <v>59780</v>
      </c>
      <c r="S1912" s="296"/>
      <c r="T1912" s="3">
        <v>116</v>
      </c>
      <c r="U1912" s="294"/>
    </row>
    <row r="1913" spans="1:21" ht="15" customHeight="1" x14ac:dyDescent="0.35">
      <c r="A1913" s="218" t="s">
        <v>3876</v>
      </c>
      <c r="B1913" s="3">
        <v>1785</v>
      </c>
      <c r="C1913" s="18">
        <v>10118595</v>
      </c>
      <c r="D1913" s="19" t="s">
        <v>1902</v>
      </c>
      <c r="E1913" s="18" t="s">
        <v>2027</v>
      </c>
      <c r="F1913" s="241">
        <v>1</v>
      </c>
      <c r="G1913" s="3" t="s">
        <v>0</v>
      </c>
      <c r="H1913" s="3">
        <v>42004</v>
      </c>
      <c r="I1913" s="3" t="s">
        <v>984</v>
      </c>
      <c r="J1913" s="3" t="s">
        <v>1962</v>
      </c>
      <c r="K1913" s="4" t="s">
        <v>988</v>
      </c>
      <c r="L1913" s="3" t="s">
        <v>977</v>
      </c>
      <c r="M1913" s="72">
        <f t="shared" si="434"/>
        <v>137373</v>
      </c>
      <c r="N1913" s="72">
        <f t="shared" si="435"/>
        <v>137373</v>
      </c>
      <c r="O1913" s="161">
        <v>137373</v>
      </c>
      <c r="P1913" s="72">
        <v>116280</v>
      </c>
      <c r="Q1913" s="256">
        <f t="shared" si="436"/>
        <v>25581.599999999999</v>
      </c>
      <c r="R1913" s="256">
        <f t="shared" si="437"/>
        <v>141861.6</v>
      </c>
      <c r="S1913" s="296"/>
      <c r="T1913" s="3">
        <v>116</v>
      </c>
      <c r="U1913" s="294"/>
    </row>
    <row r="1914" spans="1:21" ht="15" customHeight="1" x14ac:dyDescent="0.35">
      <c r="A1914" s="218" t="s">
        <v>3880</v>
      </c>
      <c r="B1914" s="3">
        <v>1786</v>
      </c>
      <c r="C1914" s="18">
        <v>102002262</v>
      </c>
      <c r="D1914" s="19" t="s">
        <v>426</v>
      </c>
      <c r="E1914" s="18" t="s">
        <v>2237</v>
      </c>
      <c r="F1914" s="241">
        <v>1</v>
      </c>
      <c r="G1914" s="3" t="s">
        <v>0</v>
      </c>
      <c r="H1914" s="3">
        <v>42824</v>
      </c>
      <c r="I1914" s="3" t="s">
        <v>989</v>
      </c>
      <c r="J1914" s="3" t="s">
        <v>1962</v>
      </c>
      <c r="K1914" s="4" t="s">
        <v>988</v>
      </c>
      <c r="L1914" s="3" t="s">
        <v>2143</v>
      </c>
      <c r="M1914" s="72">
        <f t="shared" si="434"/>
        <v>24295.15</v>
      </c>
      <c r="N1914" s="72">
        <f t="shared" si="435"/>
        <v>24295.15</v>
      </c>
      <c r="O1914" s="161">
        <v>24295.15</v>
      </c>
      <c r="P1914" s="72">
        <v>10490</v>
      </c>
      <c r="Q1914" s="256">
        <f t="shared" si="436"/>
        <v>2307.8000000000002</v>
      </c>
      <c r="R1914" s="256">
        <f t="shared" si="437"/>
        <v>12797.8</v>
      </c>
      <c r="S1914" s="296"/>
      <c r="T1914" s="3">
        <v>116</v>
      </c>
      <c r="U1914" s="294"/>
    </row>
    <row r="1915" spans="1:21" ht="15" customHeight="1" x14ac:dyDescent="0.35">
      <c r="A1915" s="218" t="s">
        <v>3883</v>
      </c>
      <c r="B1915" s="3">
        <v>1787</v>
      </c>
      <c r="C1915" s="18">
        <v>102002323</v>
      </c>
      <c r="D1915" s="19" t="s">
        <v>435</v>
      </c>
      <c r="E1915" s="18" t="s">
        <v>2237</v>
      </c>
      <c r="F1915" s="241">
        <v>1</v>
      </c>
      <c r="G1915" s="3" t="s">
        <v>0</v>
      </c>
      <c r="H1915" s="3" t="s">
        <v>2195</v>
      </c>
      <c r="I1915" s="3" t="s">
        <v>989</v>
      </c>
      <c r="J1915" s="3" t="s">
        <v>1962</v>
      </c>
      <c r="K1915" s="4" t="s">
        <v>988</v>
      </c>
      <c r="L1915" s="3" t="s">
        <v>2143</v>
      </c>
      <c r="M1915" s="72">
        <f t="shared" si="434"/>
        <v>19008.98</v>
      </c>
      <c r="N1915" s="72">
        <f t="shared" si="435"/>
        <v>19008.98</v>
      </c>
      <c r="O1915" s="161">
        <v>19008.98</v>
      </c>
      <c r="P1915" s="72">
        <v>10620</v>
      </c>
      <c r="Q1915" s="256">
        <f t="shared" si="436"/>
        <v>2336.4</v>
      </c>
      <c r="R1915" s="256">
        <f t="shared" si="437"/>
        <v>12956.4</v>
      </c>
      <c r="S1915" s="296"/>
      <c r="T1915" s="3">
        <v>116</v>
      </c>
      <c r="U1915" s="294"/>
    </row>
    <row r="1916" spans="1:21" ht="15" customHeight="1" x14ac:dyDescent="0.35">
      <c r="A1916" s="218" t="s">
        <v>3886</v>
      </c>
      <c r="B1916" s="3">
        <v>1788</v>
      </c>
      <c r="C1916" s="18">
        <v>102002256</v>
      </c>
      <c r="D1916" s="19" t="s">
        <v>451</v>
      </c>
      <c r="E1916" s="18" t="s">
        <v>2237</v>
      </c>
      <c r="F1916" s="241">
        <v>2</v>
      </c>
      <c r="G1916" s="3" t="s">
        <v>0</v>
      </c>
      <c r="H1916" s="3" t="s">
        <v>2195</v>
      </c>
      <c r="I1916" s="3" t="s">
        <v>989</v>
      </c>
      <c r="J1916" s="3" t="s">
        <v>1962</v>
      </c>
      <c r="K1916" s="4" t="s">
        <v>988</v>
      </c>
      <c r="L1916" s="3" t="s">
        <v>2143</v>
      </c>
      <c r="M1916" s="72">
        <f t="shared" si="434"/>
        <v>35528.75</v>
      </c>
      <c r="N1916" s="72">
        <f t="shared" si="435"/>
        <v>17764.38</v>
      </c>
      <c r="O1916" s="161">
        <v>35528.75</v>
      </c>
      <c r="P1916" s="72">
        <v>19840</v>
      </c>
      <c r="Q1916" s="256">
        <f t="shared" si="436"/>
        <v>4364.8</v>
      </c>
      <c r="R1916" s="256">
        <f t="shared" si="437"/>
        <v>24204.799999999999</v>
      </c>
      <c r="S1916" s="296"/>
      <c r="T1916" s="3">
        <v>116</v>
      </c>
      <c r="U1916" s="294"/>
    </row>
    <row r="1917" spans="1:21" ht="15" customHeight="1" x14ac:dyDescent="0.35">
      <c r="A1917" s="218" t="s">
        <v>3894</v>
      </c>
      <c r="B1917" s="3">
        <v>1789</v>
      </c>
      <c r="C1917" s="18">
        <v>102002258</v>
      </c>
      <c r="D1917" s="19" t="s">
        <v>477</v>
      </c>
      <c r="E1917" s="18" t="s">
        <v>2237</v>
      </c>
      <c r="F1917" s="241">
        <v>5</v>
      </c>
      <c r="G1917" s="3" t="s">
        <v>0</v>
      </c>
      <c r="H1917" s="3">
        <v>42824</v>
      </c>
      <c r="I1917" s="3" t="s">
        <v>989</v>
      </c>
      <c r="J1917" s="3" t="s">
        <v>1962</v>
      </c>
      <c r="K1917" s="4" t="s">
        <v>988</v>
      </c>
      <c r="L1917" s="3" t="s">
        <v>2143</v>
      </c>
      <c r="M1917" s="72">
        <f t="shared" si="434"/>
        <v>106790.33</v>
      </c>
      <c r="N1917" s="72">
        <f t="shared" si="435"/>
        <v>21358.07</v>
      </c>
      <c r="O1917" s="161">
        <v>106790.33</v>
      </c>
      <c r="P1917" s="72">
        <v>46090</v>
      </c>
      <c r="Q1917" s="256">
        <f t="shared" si="436"/>
        <v>10139.799999999999</v>
      </c>
      <c r="R1917" s="256">
        <f t="shared" si="437"/>
        <v>56229.8</v>
      </c>
      <c r="S1917" s="296"/>
      <c r="T1917" s="3">
        <v>116</v>
      </c>
      <c r="U1917" s="294"/>
    </row>
    <row r="1918" spans="1:21" ht="81.75" customHeight="1" x14ac:dyDescent="0.35">
      <c r="A1918" s="218" t="s">
        <v>3907</v>
      </c>
      <c r="B1918" s="3">
        <v>1790</v>
      </c>
      <c r="C1918" s="18">
        <v>10153385</v>
      </c>
      <c r="D1918" s="19" t="s">
        <v>500</v>
      </c>
      <c r="E1918" s="18" t="s">
        <v>2237</v>
      </c>
      <c r="F1918" s="241">
        <v>18</v>
      </c>
      <c r="G1918" s="3" t="s">
        <v>0</v>
      </c>
      <c r="H1918" s="3" t="s">
        <v>516</v>
      </c>
      <c r="I1918" s="3" t="s">
        <v>989</v>
      </c>
      <c r="J1918" s="4" t="s">
        <v>2280</v>
      </c>
      <c r="K1918" s="4" t="s">
        <v>500</v>
      </c>
      <c r="L1918" s="3" t="s">
        <v>871</v>
      </c>
      <c r="M1918" s="72">
        <f t="shared" si="434"/>
        <v>661320</v>
      </c>
      <c r="N1918" s="72">
        <f t="shared" si="435"/>
        <v>36740</v>
      </c>
      <c r="O1918" s="161">
        <v>661320</v>
      </c>
      <c r="P1918" s="72">
        <v>338930</v>
      </c>
      <c r="Q1918" s="256">
        <f t="shared" si="436"/>
        <v>74564.600000000006</v>
      </c>
      <c r="R1918" s="256">
        <f t="shared" si="437"/>
        <v>413494.6</v>
      </c>
      <c r="S1918" s="296"/>
      <c r="T1918" s="3">
        <v>116</v>
      </c>
      <c r="U1918" s="294"/>
    </row>
    <row r="1919" spans="1:21" ht="31.5" customHeight="1" x14ac:dyDescent="0.35">
      <c r="A1919" s="218" t="s">
        <v>3908</v>
      </c>
      <c r="B1919" s="3">
        <v>1791</v>
      </c>
      <c r="C1919" s="18">
        <v>10118626</v>
      </c>
      <c r="D1919" s="19" t="s">
        <v>1005</v>
      </c>
      <c r="E1919" s="18" t="s">
        <v>2237</v>
      </c>
      <c r="F1919" s="241">
        <v>2</v>
      </c>
      <c r="G1919" s="3" t="s">
        <v>0</v>
      </c>
      <c r="H1919" s="3" t="s">
        <v>523</v>
      </c>
      <c r="I1919" s="3" t="s">
        <v>989</v>
      </c>
      <c r="J1919" s="4" t="s">
        <v>2282</v>
      </c>
      <c r="K1919" s="4" t="s">
        <v>1005</v>
      </c>
      <c r="L1919" s="3" t="s">
        <v>871</v>
      </c>
      <c r="M1919" s="72">
        <f t="shared" si="434"/>
        <v>91937.26</v>
      </c>
      <c r="N1919" s="72">
        <f t="shared" si="435"/>
        <v>45968.63</v>
      </c>
      <c r="O1919" s="161">
        <v>91937.26</v>
      </c>
      <c r="P1919" s="72">
        <v>47880</v>
      </c>
      <c r="Q1919" s="256">
        <f t="shared" si="436"/>
        <v>10533.6</v>
      </c>
      <c r="R1919" s="256">
        <f t="shared" si="437"/>
        <v>58413.599999999999</v>
      </c>
      <c r="S1919" s="296"/>
      <c r="T1919" s="3">
        <v>116</v>
      </c>
      <c r="U1919" s="294"/>
    </row>
    <row r="1920" spans="1:21" ht="33" customHeight="1" x14ac:dyDescent="0.35">
      <c r="A1920" s="218" t="s">
        <v>3909</v>
      </c>
      <c r="B1920" s="3">
        <v>1792</v>
      </c>
      <c r="C1920" s="18">
        <v>10108178</v>
      </c>
      <c r="D1920" s="19" t="s">
        <v>1006</v>
      </c>
      <c r="E1920" s="18" t="s">
        <v>2237</v>
      </c>
      <c r="F1920" s="241">
        <v>1</v>
      </c>
      <c r="G1920" s="3" t="s">
        <v>0</v>
      </c>
      <c r="H1920" s="3" t="s">
        <v>523</v>
      </c>
      <c r="I1920" s="3" t="s">
        <v>989</v>
      </c>
      <c r="J1920" s="4" t="s">
        <v>2283</v>
      </c>
      <c r="K1920" s="4" t="s">
        <v>1006</v>
      </c>
      <c r="L1920" s="3" t="s">
        <v>871</v>
      </c>
      <c r="M1920" s="72">
        <f t="shared" si="434"/>
        <v>28740.959999999999</v>
      </c>
      <c r="N1920" s="72">
        <f t="shared" si="435"/>
        <v>28740.959999999999</v>
      </c>
      <c r="O1920" s="161">
        <v>28740.959999999999</v>
      </c>
      <c r="P1920" s="72">
        <v>14970</v>
      </c>
      <c r="Q1920" s="256">
        <f t="shared" si="436"/>
        <v>3293.4</v>
      </c>
      <c r="R1920" s="256">
        <f t="shared" si="437"/>
        <v>18263.400000000001</v>
      </c>
      <c r="S1920" s="296"/>
      <c r="T1920" s="3">
        <v>116</v>
      </c>
      <c r="U1920" s="294"/>
    </row>
    <row r="1921" spans="1:21" ht="32.25" customHeight="1" x14ac:dyDescent="0.35">
      <c r="A1921" s="218" t="s">
        <v>3910</v>
      </c>
      <c r="B1921" s="3">
        <v>1793</v>
      </c>
      <c r="C1921" s="18">
        <v>10108236</v>
      </c>
      <c r="D1921" s="19" t="s">
        <v>1007</v>
      </c>
      <c r="E1921" s="18" t="s">
        <v>2237</v>
      </c>
      <c r="F1921" s="241">
        <v>4</v>
      </c>
      <c r="G1921" s="3" t="s">
        <v>0</v>
      </c>
      <c r="H1921" s="3" t="s">
        <v>523</v>
      </c>
      <c r="I1921" s="3" t="s">
        <v>989</v>
      </c>
      <c r="J1921" s="4" t="s">
        <v>2281</v>
      </c>
      <c r="K1921" s="4" t="s">
        <v>1007</v>
      </c>
      <c r="L1921" s="3" t="s">
        <v>871</v>
      </c>
      <c r="M1921" s="72">
        <f t="shared" si="434"/>
        <v>115776</v>
      </c>
      <c r="N1921" s="72">
        <f t="shared" si="435"/>
        <v>28944</v>
      </c>
      <c r="O1921" s="161">
        <v>115776</v>
      </c>
      <c r="P1921" s="72">
        <v>57650</v>
      </c>
      <c r="Q1921" s="256">
        <f t="shared" si="436"/>
        <v>12683</v>
      </c>
      <c r="R1921" s="256">
        <f t="shared" si="437"/>
        <v>70333</v>
      </c>
      <c r="S1921" s="296"/>
      <c r="T1921" s="3">
        <v>116</v>
      </c>
      <c r="U1921" s="294"/>
    </row>
    <row r="1922" spans="1:21" ht="30" customHeight="1" x14ac:dyDescent="0.35">
      <c r="A1922" s="218" t="s">
        <v>3911</v>
      </c>
      <c r="B1922" s="3">
        <v>1794</v>
      </c>
      <c r="C1922" s="18">
        <v>10108179</v>
      </c>
      <c r="D1922" s="19" t="s">
        <v>44</v>
      </c>
      <c r="E1922" s="18" t="s">
        <v>2237</v>
      </c>
      <c r="F1922" s="241">
        <v>2</v>
      </c>
      <c r="G1922" s="3" t="s">
        <v>0</v>
      </c>
      <c r="H1922" s="3" t="s">
        <v>518</v>
      </c>
      <c r="I1922" s="3" t="s">
        <v>989</v>
      </c>
      <c r="J1922" s="4" t="s">
        <v>2284</v>
      </c>
      <c r="K1922" s="4" t="s">
        <v>44</v>
      </c>
      <c r="L1922" s="3" t="s">
        <v>871</v>
      </c>
      <c r="M1922" s="72">
        <f t="shared" si="434"/>
        <v>62694</v>
      </c>
      <c r="N1922" s="72">
        <f t="shared" si="435"/>
        <v>31347</v>
      </c>
      <c r="O1922" s="161">
        <v>62694</v>
      </c>
      <c r="P1922" s="72">
        <v>35020</v>
      </c>
      <c r="Q1922" s="256">
        <f t="shared" ref="Q1922:Q1923" si="438">R1922-P1922</f>
        <v>7704.4</v>
      </c>
      <c r="R1922" s="256">
        <f t="shared" si="437"/>
        <v>42724.4</v>
      </c>
      <c r="S1922" s="296"/>
      <c r="T1922" s="3">
        <v>116</v>
      </c>
      <c r="U1922" s="294"/>
    </row>
    <row r="1923" spans="1:21" ht="29.25" customHeight="1" x14ac:dyDescent="0.35">
      <c r="A1923" s="218" t="s">
        <v>3956</v>
      </c>
      <c r="B1923" s="3">
        <v>1795</v>
      </c>
      <c r="C1923" s="18">
        <v>10108179</v>
      </c>
      <c r="D1923" s="19" t="s">
        <v>44</v>
      </c>
      <c r="E1923" s="18" t="s">
        <v>2027</v>
      </c>
      <c r="F1923" s="241">
        <v>2</v>
      </c>
      <c r="G1923" s="3" t="s">
        <v>0</v>
      </c>
      <c r="H1923" s="3" t="s">
        <v>517</v>
      </c>
      <c r="I1923" s="3" t="s">
        <v>984</v>
      </c>
      <c r="J1923" s="4" t="s">
        <v>2272</v>
      </c>
      <c r="K1923" s="4" t="s">
        <v>2033</v>
      </c>
      <c r="L1923" s="3" t="s">
        <v>2147</v>
      </c>
      <c r="M1923" s="72">
        <f t="shared" si="434"/>
        <v>62694</v>
      </c>
      <c r="N1923" s="72">
        <f t="shared" si="435"/>
        <v>31347</v>
      </c>
      <c r="O1923" s="161">
        <v>62694</v>
      </c>
      <c r="P1923" s="72">
        <v>50780</v>
      </c>
      <c r="Q1923" s="256">
        <f t="shared" si="438"/>
        <v>11171.6</v>
      </c>
      <c r="R1923" s="256">
        <f t="shared" si="437"/>
        <v>61951.6</v>
      </c>
      <c r="S1923" s="297"/>
      <c r="T1923" s="3">
        <v>116</v>
      </c>
      <c r="U1923" s="294"/>
    </row>
    <row r="1924" spans="1:21" ht="15" customHeight="1" x14ac:dyDescent="0.35">
      <c r="A1924" s="218"/>
      <c r="B1924" s="94"/>
      <c r="C1924" s="3"/>
      <c r="D1924" s="3"/>
      <c r="E1924" s="3"/>
      <c r="F1924" s="241"/>
      <c r="G1924" s="3"/>
      <c r="H1924" s="3"/>
      <c r="I1924" s="3"/>
      <c r="J1924" s="3"/>
      <c r="K1924" s="3"/>
      <c r="L1924" s="3"/>
      <c r="M1924" s="3"/>
      <c r="N1924" s="3"/>
      <c r="O1924" s="203">
        <f>SUM(O1826:O1923)</f>
        <v>21097458.899999999</v>
      </c>
      <c r="P1924" s="276">
        <f t="shared" ref="P1924:Q1924" si="439">SUM(P1826:P1923)</f>
        <v>11148600</v>
      </c>
      <c r="Q1924" s="282">
        <f t="shared" si="439"/>
        <v>2452692</v>
      </c>
      <c r="R1924" s="282">
        <f>SUM(R1826:R1923)</f>
        <v>13601292</v>
      </c>
      <c r="S1924" s="286">
        <f>R1924/100*10</f>
        <v>1360129.2</v>
      </c>
      <c r="T1924" s="104">
        <v>116</v>
      </c>
      <c r="U1924" s="295"/>
    </row>
    <row r="1925" spans="1:21" ht="32.25" customHeight="1" x14ac:dyDescent="0.35">
      <c r="A1925" s="218" t="s">
        <v>4234</v>
      </c>
      <c r="B1925" s="3">
        <v>1796</v>
      </c>
      <c r="C1925" s="18">
        <v>102013012</v>
      </c>
      <c r="D1925" s="13" t="s">
        <v>4185</v>
      </c>
      <c r="E1925" s="211" t="s">
        <v>4215</v>
      </c>
      <c r="F1925" s="241">
        <v>1</v>
      </c>
      <c r="G1925" s="3" t="s">
        <v>0</v>
      </c>
      <c r="H1925" s="35" t="s">
        <v>4196</v>
      </c>
      <c r="I1925" s="3" t="s">
        <v>1360</v>
      </c>
      <c r="J1925" s="210" t="s">
        <v>986</v>
      </c>
      <c r="K1925" s="4" t="s">
        <v>4200</v>
      </c>
      <c r="L1925" s="3" t="s">
        <v>977</v>
      </c>
      <c r="M1925" s="135">
        <v>87461.25</v>
      </c>
      <c r="N1925" s="135">
        <f>O1925/F1925</f>
        <v>87461.25</v>
      </c>
      <c r="O1925" s="135">
        <v>87461.25</v>
      </c>
      <c r="P1925" s="72">
        <v>98070</v>
      </c>
      <c r="Q1925" s="256">
        <f t="shared" ref="Q1925:Q1935" si="440">R1925-P1925</f>
        <v>21575.4</v>
      </c>
      <c r="R1925" s="256">
        <f t="shared" ref="R1925:R1935" si="441">P1925*1.22</f>
        <v>119645.4</v>
      </c>
      <c r="S1925" s="289"/>
      <c r="T1925" s="3">
        <v>117</v>
      </c>
      <c r="U1925" s="292" t="s">
        <v>4258</v>
      </c>
    </row>
    <row r="1926" spans="1:21" ht="31.5" customHeight="1" x14ac:dyDescent="0.35">
      <c r="A1926" s="218" t="s">
        <v>4235</v>
      </c>
      <c r="B1926" s="3">
        <v>1797</v>
      </c>
      <c r="C1926" s="18">
        <v>102011823</v>
      </c>
      <c r="D1926" s="13" t="s">
        <v>4186</v>
      </c>
      <c r="E1926" s="211" t="s">
        <v>4215</v>
      </c>
      <c r="F1926" s="241">
        <v>1</v>
      </c>
      <c r="G1926" s="3" t="s">
        <v>0</v>
      </c>
      <c r="H1926" s="35" t="s">
        <v>4197</v>
      </c>
      <c r="I1926" s="3" t="s">
        <v>1360</v>
      </c>
      <c r="J1926" s="210" t="s">
        <v>986</v>
      </c>
      <c r="K1926" s="4" t="s">
        <v>4201</v>
      </c>
      <c r="L1926" s="3" t="s">
        <v>977</v>
      </c>
      <c r="M1926" s="135">
        <v>124182.57</v>
      </c>
      <c r="N1926" s="135">
        <f t="shared" ref="N1926:N1937" si="442">O1926/F1926</f>
        <v>124182.57</v>
      </c>
      <c r="O1926" s="135">
        <v>124182.57</v>
      </c>
      <c r="P1926" s="72">
        <v>139240</v>
      </c>
      <c r="Q1926" s="256">
        <f t="shared" si="440"/>
        <v>30632.799999999999</v>
      </c>
      <c r="R1926" s="256">
        <f t="shared" si="441"/>
        <v>169872.8</v>
      </c>
      <c r="S1926" s="296"/>
      <c r="T1926" s="3">
        <v>117</v>
      </c>
      <c r="U1926" s="294"/>
    </row>
    <row r="1927" spans="1:21" ht="29.25" customHeight="1" x14ac:dyDescent="0.35">
      <c r="A1927" s="218" t="s">
        <v>4236</v>
      </c>
      <c r="B1927" s="3">
        <v>1798</v>
      </c>
      <c r="C1927" s="18">
        <v>102012950</v>
      </c>
      <c r="D1927" s="13" t="s">
        <v>4187</v>
      </c>
      <c r="E1927" s="211" t="s">
        <v>4215</v>
      </c>
      <c r="F1927" s="241">
        <v>1</v>
      </c>
      <c r="G1927" s="3" t="s">
        <v>0</v>
      </c>
      <c r="H1927" s="35" t="s">
        <v>4198</v>
      </c>
      <c r="I1927" s="3" t="s">
        <v>1360</v>
      </c>
      <c r="J1927" s="210" t="s">
        <v>986</v>
      </c>
      <c r="K1927" s="4" t="s">
        <v>4202</v>
      </c>
      <c r="L1927" s="3" t="s">
        <v>977</v>
      </c>
      <c r="M1927" s="135">
        <v>118537.9</v>
      </c>
      <c r="N1927" s="135">
        <f t="shared" si="442"/>
        <v>118537.9</v>
      </c>
      <c r="O1927" s="135">
        <v>118537.9</v>
      </c>
      <c r="P1927" s="72">
        <v>86010</v>
      </c>
      <c r="Q1927" s="256">
        <f t="shared" si="440"/>
        <v>18922.2</v>
      </c>
      <c r="R1927" s="256">
        <f t="shared" si="441"/>
        <v>104932.2</v>
      </c>
      <c r="S1927" s="296"/>
      <c r="T1927" s="3">
        <v>117</v>
      </c>
      <c r="U1927" s="294"/>
    </row>
    <row r="1928" spans="1:21" ht="50.25" customHeight="1" x14ac:dyDescent="0.35">
      <c r="A1928" s="218" t="s">
        <v>4237</v>
      </c>
      <c r="B1928" s="3">
        <v>1799</v>
      </c>
      <c r="C1928" s="18">
        <v>102011831</v>
      </c>
      <c r="D1928" s="13" t="s">
        <v>4188</v>
      </c>
      <c r="E1928" s="211" t="s">
        <v>4215</v>
      </c>
      <c r="F1928" s="241">
        <v>1</v>
      </c>
      <c r="G1928" s="3" t="s">
        <v>0</v>
      </c>
      <c r="H1928" s="35" t="s">
        <v>4198</v>
      </c>
      <c r="I1928" s="3" t="s">
        <v>1360</v>
      </c>
      <c r="J1928" s="210" t="s">
        <v>986</v>
      </c>
      <c r="K1928" s="4" t="s">
        <v>4203</v>
      </c>
      <c r="L1928" s="3" t="s">
        <v>977</v>
      </c>
      <c r="M1928" s="135">
        <v>6625.17</v>
      </c>
      <c r="N1928" s="135">
        <f t="shared" si="442"/>
        <v>6625.17</v>
      </c>
      <c r="O1928" s="135">
        <v>6625.17</v>
      </c>
      <c r="P1928" s="72">
        <v>4810</v>
      </c>
      <c r="Q1928" s="256">
        <f t="shared" si="440"/>
        <v>1058.2</v>
      </c>
      <c r="R1928" s="256">
        <f t="shared" si="441"/>
        <v>5868.2</v>
      </c>
      <c r="S1928" s="296"/>
      <c r="T1928" s="3">
        <v>117</v>
      </c>
      <c r="U1928" s="294"/>
    </row>
    <row r="1929" spans="1:21" ht="38.25" customHeight="1" x14ac:dyDescent="0.35">
      <c r="A1929" s="218" t="s">
        <v>4238</v>
      </c>
      <c r="B1929" s="3">
        <v>1800</v>
      </c>
      <c r="C1929" s="18">
        <v>102011748</v>
      </c>
      <c r="D1929" s="13" t="s">
        <v>4189</v>
      </c>
      <c r="E1929" s="211" t="s">
        <v>4215</v>
      </c>
      <c r="F1929" s="241">
        <v>1</v>
      </c>
      <c r="G1929" s="3" t="s">
        <v>0</v>
      </c>
      <c r="H1929" s="35" t="s">
        <v>4196</v>
      </c>
      <c r="I1929" s="3" t="s">
        <v>1360</v>
      </c>
      <c r="J1929" s="210" t="s">
        <v>986</v>
      </c>
      <c r="K1929" s="4" t="s">
        <v>4204</v>
      </c>
      <c r="L1929" s="3" t="s">
        <v>977</v>
      </c>
      <c r="M1929" s="135">
        <v>167851.16</v>
      </c>
      <c r="N1929" s="135">
        <f t="shared" si="442"/>
        <v>167851.16</v>
      </c>
      <c r="O1929" s="135">
        <v>167851.16</v>
      </c>
      <c r="P1929" s="72">
        <v>239480</v>
      </c>
      <c r="Q1929" s="256">
        <f t="shared" si="440"/>
        <v>52685.599999999999</v>
      </c>
      <c r="R1929" s="256">
        <f t="shared" si="441"/>
        <v>292165.59999999998</v>
      </c>
      <c r="S1929" s="296"/>
      <c r="T1929" s="3">
        <v>117</v>
      </c>
      <c r="U1929" s="294"/>
    </row>
    <row r="1930" spans="1:21" ht="33" customHeight="1" x14ac:dyDescent="0.35">
      <c r="A1930" s="218" t="s">
        <v>4239</v>
      </c>
      <c r="B1930" s="3">
        <v>1801</v>
      </c>
      <c r="C1930" s="18">
        <v>102011749</v>
      </c>
      <c r="D1930" s="13" t="s">
        <v>4190</v>
      </c>
      <c r="E1930" s="211" t="s">
        <v>4215</v>
      </c>
      <c r="F1930" s="241">
        <v>1</v>
      </c>
      <c r="G1930" s="3" t="s">
        <v>0</v>
      </c>
      <c r="H1930" s="35" t="s">
        <v>4199</v>
      </c>
      <c r="I1930" s="3" t="s">
        <v>1360</v>
      </c>
      <c r="J1930" s="210" t="s">
        <v>986</v>
      </c>
      <c r="K1930" s="4" t="s">
        <v>4205</v>
      </c>
      <c r="L1930" s="3" t="s">
        <v>977</v>
      </c>
      <c r="M1930" s="135">
        <v>177899.9</v>
      </c>
      <c r="N1930" s="135">
        <f t="shared" si="442"/>
        <v>177899.9</v>
      </c>
      <c r="O1930" s="135">
        <v>177899.9</v>
      </c>
      <c r="P1930" s="72">
        <v>253820</v>
      </c>
      <c r="Q1930" s="256">
        <f t="shared" si="440"/>
        <v>55840.4</v>
      </c>
      <c r="R1930" s="256">
        <f t="shared" si="441"/>
        <v>309660.40000000002</v>
      </c>
      <c r="S1930" s="296"/>
      <c r="T1930" s="3">
        <v>117</v>
      </c>
      <c r="U1930" s="294"/>
    </row>
    <row r="1931" spans="1:21" ht="57.75" customHeight="1" x14ac:dyDescent="0.35">
      <c r="A1931" s="218" t="s">
        <v>4240</v>
      </c>
      <c r="B1931" s="3">
        <v>1802</v>
      </c>
      <c r="C1931" s="18">
        <v>102011811</v>
      </c>
      <c r="D1931" s="13" t="s">
        <v>4191</v>
      </c>
      <c r="E1931" s="211" t="s">
        <v>4215</v>
      </c>
      <c r="F1931" s="241">
        <v>2</v>
      </c>
      <c r="G1931" s="3" t="s">
        <v>0</v>
      </c>
      <c r="H1931" s="35" t="s">
        <v>4199</v>
      </c>
      <c r="I1931" s="3" t="s">
        <v>1360</v>
      </c>
      <c r="J1931" s="3" t="s">
        <v>1962</v>
      </c>
      <c r="K1931" s="4" t="s">
        <v>4206</v>
      </c>
      <c r="L1931" s="3" t="s">
        <v>977</v>
      </c>
      <c r="M1931" s="135">
        <v>254940.24</v>
      </c>
      <c r="N1931" s="135">
        <f t="shared" si="442"/>
        <v>127470.12</v>
      </c>
      <c r="O1931" s="135">
        <v>254940.24</v>
      </c>
      <c r="P1931" s="72">
        <v>363730</v>
      </c>
      <c r="Q1931" s="256">
        <f t="shared" si="440"/>
        <v>80020.600000000006</v>
      </c>
      <c r="R1931" s="256">
        <f t="shared" si="441"/>
        <v>443750.6</v>
      </c>
      <c r="S1931" s="296"/>
      <c r="T1931" s="3">
        <v>117</v>
      </c>
      <c r="U1931" s="294"/>
    </row>
    <row r="1932" spans="1:21" ht="33" customHeight="1" x14ac:dyDescent="0.35">
      <c r="A1932" s="218" t="s">
        <v>4241</v>
      </c>
      <c r="B1932" s="3">
        <v>1803</v>
      </c>
      <c r="C1932" s="18">
        <v>102022198</v>
      </c>
      <c r="D1932" s="13" t="s">
        <v>4192</v>
      </c>
      <c r="E1932" s="211" t="s">
        <v>4215</v>
      </c>
      <c r="F1932" s="241">
        <v>1</v>
      </c>
      <c r="G1932" s="3" t="s">
        <v>0</v>
      </c>
      <c r="H1932" s="35" t="s">
        <v>4198</v>
      </c>
      <c r="I1932" s="3" t="s">
        <v>1360</v>
      </c>
      <c r="J1932" s="3" t="s">
        <v>1962</v>
      </c>
      <c r="K1932" s="4" t="s">
        <v>4207</v>
      </c>
      <c r="L1932" s="3" t="s">
        <v>977</v>
      </c>
      <c r="M1932" s="135">
        <v>50515.08</v>
      </c>
      <c r="N1932" s="135">
        <f t="shared" si="442"/>
        <v>50515.08</v>
      </c>
      <c r="O1932" s="135">
        <v>50515.08</v>
      </c>
      <c r="P1932" s="72">
        <v>67640</v>
      </c>
      <c r="Q1932" s="256">
        <f t="shared" si="440"/>
        <v>14880.8</v>
      </c>
      <c r="R1932" s="256">
        <f t="shared" si="441"/>
        <v>82520.800000000003</v>
      </c>
      <c r="S1932" s="296"/>
      <c r="T1932" s="3">
        <v>117</v>
      </c>
      <c r="U1932" s="294"/>
    </row>
    <row r="1933" spans="1:21" ht="33" customHeight="1" x14ac:dyDescent="0.35">
      <c r="A1933" s="218" t="s">
        <v>4242</v>
      </c>
      <c r="B1933" s="3">
        <v>1804</v>
      </c>
      <c r="C1933" s="18">
        <v>102022197</v>
      </c>
      <c r="D1933" s="13" t="s">
        <v>4193</v>
      </c>
      <c r="E1933" s="211" t="s">
        <v>4215</v>
      </c>
      <c r="F1933" s="241">
        <v>1</v>
      </c>
      <c r="G1933" s="3" t="s">
        <v>0</v>
      </c>
      <c r="H1933" s="35" t="s">
        <v>4198</v>
      </c>
      <c r="I1933" s="3" t="s">
        <v>1360</v>
      </c>
      <c r="J1933" s="3" t="s">
        <v>1962</v>
      </c>
      <c r="K1933" s="4" t="s">
        <v>4208</v>
      </c>
      <c r="L1933" s="3" t="s">
        <v>977</v>
      </c>
      <c r="M1933" s="135">
        <v>66115.19</v>
      </c>
      <c r="N1933" s="135">
        <f t="shared" si="442"/>
        <v>66115.19</v>
      </c>
      <c r="O1933" s="135">
        <v>66115.19</v>
      </c>
      <c r="P1933" s="72">
        <v>88520</v>
      </c>
      <c r="Q1933" s="256">
        <f t="shared" si="440"/>
        <v>19474.400000000001</v>
      </c>
      <c r="R1933" s="256">
        <f t="shared" si="441"/>
        <v>107994.4</v>
      </c>
      <c r="S1933" s="296"/>
      <c r="T1933" s="3">
        <v>117</v>
      </c>
      <c r="U1933" s="294"/>
    </row>
    <row r="1934" spans="1:21" ht="33" customHeight="1" x14ac:dyDescent="0.35">
      <c r="A1934" s="218" t="s">
        <v>4243</v>
      </c>
      <c r="B1934" s="3">
        <v>1805</v>
      </c>
      <c r="C1934" s="18">
        <v>102022194</v>
      </c>
      <c r="D1934" s="13" t="s">
        <v>4194</v>
      </c>
      <c r="E1934" s="211" t="s">
        <v>4215</v>
      </c>
      <c r="F1934" s="241">
        <v>1</v>
      </c>
      <c r="G1934" s="3" t="s">
        <v>0</v>
      </c>
      <c r="H1934" s="35" t="s">
        <v>4198</v>
      </c>
      <c r="I1934" s="3" t="s">
        <v>1360</v>
      </c>
      <c r="J1934" s="3" t="s">
        <v>1962</v>
      </c>
      <c r="K1934" s="4" t="s">
        <v>4209</v>
      </c>
      <c r="L1934" s="3" t="s">
        <v>977</v>
      </c>
      <c r="M1934" s="135">
        <v>67392.539999999994</v>
      </c>
      <c r="N1934" s="135">
        <f t="shared" si="442"/>
        <v>67392.539999999994</v>
      </c>
      <c r="O1934" s="135">
        <v>67392.539999999994</v>
      </c>
      <c r="P1934" s="72">
        <v>107400</v>
      </c>
      <c r="Q1934" s="256">
        <f t="shared" si="440"/>
        <v>23628</v>
      </c>
      <c r="R1934" s="256">
        <f t="shared" si="441"/>
        <v>131028</v>
      </c>
      <c r="S1934" s="296"/>
      <c r="T1934" s="3">
        <v>117</v>
      </c>
      <c r="U1934" s="294"/>
    </row>
    <row r="1935" spans="1:21" ht="33" customHeight="1" x14ac:dyDescent="0.35">
      <c r="A1935" s="218" t="s">
        <v>4244</v>
      </c>
      <c r="B1935" s="3">
        <v>1806</v>
      </c>
      <c r="C1935" s="18">
        <v>102022195</v>
      </c>
      <c r="D1935" s="13" t="s">
        <v>4195</v>
      </c>
      <c r="E1935" s="211" t="s">
        <v>4215</v>
      </c>
      <c r="F1935" s="241">
        <v>1</v>
      </c>
      <c r="G1935" s="3" t="s">
        <v>0</v>
      </c>
      <c r="H1935" s="35" t="s">
        <v>4198</v>
      </c>
      <c r="I1935" s="3" t="s">
        <v>1360</v>
      </c>
      <c r="J1935" s="3" t="s">
        <v>1962</v>
      </c>
      <c r="K1935" s="4" t="s">
        <v>4210</v>
      </c>
      <c r="L1935" s="3" t="s">
        <v>977</v>
      </c>
      <c r="M1935" s="135">
        <v>62226.58</v>
      </c>
      <c r="N1935" s="135">
        <f t="shared" si="442"/>
        <v>62226.58</v>
      </c>
      <c r="O1935" s="135">
        <v>62226.58</v>
      </c>
      <c r="P1935" s="72">
        <v>99170</v>
      </c>
      <c r="Q1935" s="256">
        <f t="shared" si="440"/>
        <v>21817.4</v>
      </c>
      <c r="R1935" s="256">
        <f t="shared" si="441"/>
        <v>120987.4</v>
      </c>
      <c r="S1935" s="297"/>
      <c r="T1935" s="3">
        <v>117</v>
      </c>
      <c r="U1935" s="294"/>
    </row>
    <row r="1936" spans="1:21" ht="15" customHeight="1" x14ac:dyDescent="0.35">
      <c r="A1936" s="218"/>
      <c r="B1936" s="94"/>
      <c r="C1936" s="3"/>
      <c r="D1936" s="3"/>
      <c r="E1936" s="3"/>
      <c r="F1936" s="241"/>
      <c r="G1936" s="3"/>
      <c r="H1936" s="3"/>
      <c r="I1936" s="3"/>
      <c r="J1936" s="3"/>
      <c r="K1936" s="3"/>
      <c r="L1936" s="3"/>
      <c r="M1936" s="3"/>
      <c r="N1936" s="3"/>
      <c r="O1936" s="203">
        <f>SUM(O1925:O1935)</f>
        <v>1183747.58</v>
      </c>
      <c r="P1936" s="276">
        <f t="shared" ref="P1936:Q1936" si="443">SUM(P1925:P1935)</f>
        <v>1547890</v>
      </c>
      <c r="Q1936" s="282">
        <f t="shared" si="443"/>
        <v>340535.8</v>
      </c>
      <c r="R1936" s="282">
        <f>SUM(R1925:R1935)</f>
        <v>1888425.8</v>
      </c>
      <c r="S1936" s="286">
        <f>R1936/100*10</f>
        <v>188842.58</v>
      </c>
      <c r="T1936" s="104">
        <v>117</v>
      </c>
      <c r="U1936" s="295"/>
    </row>
    <row r="1937" spans="1:21" ht="68.150000000000006" customHeight="1" x14ac:dyDescent="0.35">
      <c r="A1937" s="218" t="s">
        <v>4245</v>
      </c>
      <c r="B1937" s="254">
        <v>1807</v>
      </c>
      <c r="C1937" s="18">
        <v>102019731</v>
      </c>
      <c r="D1937" s="13" t="s">
        <v>4211</v>
      </c>
      <c r="E1937" s="211" t="s">
        <v>4216</v>
      </c>
      <c r="F1937" s="241">
        <v>1</v>
      </c>
      <c r="G1937" s="3" t="s">
        <v>0</v>
      </c>
      <c r="H1937" s="35" t="s">
        <v>4212</v>
      </c>
      <c r="I1937" s="223" t="s">
        <v>1362</v>
      </c>
      <c r="J1937" s="3" t="s">
        <v>1962</v>
      </c>
      <c r="K1937" s="214" t="s">
        <v>4233</v>
      </c>
      <c r="L1937" s="3" t="s">
        <v>977</v>
      </c>
      <c r="M1937" s="135">
        <v>35950</v>
      </c>
      <c r="N1937" s="135">
        <f t="shared" si="442"/>
        <v>35950</v>
      </c>
      <c r="O1937" s="135">
        <v>35950</v>
      </c>
      <c r="P1937" s="72">
        <v>62560</v>
      </c>
      <c r="Q1937" s="256">
        <f>R1937-P1937</f>
        <v>13763.2</v>
      </c>
      <c r="R1937" s="256">
        <f>P1937*1.22</f>
        <v>76323.199999999997</v>
      </c>
      <c r="S1937" s="287"/>
      <c r="T1937" s="3">
        <v>118</v>
      </c>
      <c r="U1937" s="292" t="s">
        <v>2330</v>
      </c>
    </row>
    <row r="1938" spans="1:21" ht="15" customHeight="1" x14ac:dyDescent="0.35">
      <c r="A1938" s="218"/>
      <c r="B1938" s="94"/>
      <c r="C1938" s="3"/>
      <c r="D1938" s="3"/>
      <c r="E1938" s="3"/>
      <c r="F1938" s="241"/>
      <c r="G1938" s="3"/>
      <c r="H1938" s="3"/>
      <c r="I1938" s="3"/>
      <c r="J1938" s="3"/>
      <c r="K1938" s="3"/>
      <c r="L1938" s="3"/>
      <c r="M1938" s="3"/>
      <c r="N1938" s="3"/>
      <c r="O1938" s="203">
        <f>SUM(O1937:O1937)</f>
        <v>35950</v>
      </c>
      <c r="P1938" s="276">
        <f>SUM(P1937:P1937)</f>
        <v>62560</v>
      </c>
      <c r="Q1938" s="282">
        <f>SUM(Q1937:Q1937)</f>
        <v>13763.2</v>
      </c>
      <c r="R1938" s="282">
        <f>SUM(R1937:R1937)</f>
        <v>76323.199999999997</v>
      </c>
      <c r="S1938" s="286">
        <f>R1938/100*10</f>
        <v>7632.32</v>
      </c>
      <c r="T1938" s="104">
        <v>118</v>
      </c>
      <c r="U1938" s="295"/>
    </row>
    <row r="1939" spans="1:21" ht="34" customHeight="1" x14ac:dyDescent="0.35">
      <c r="A1939" s="218" t="s">
        <v>4248</v>
      </c>
      <c r="B1939" s="3">
        <v>1808</v>
      </c>
      <c r="C1939" s="19">
        <v>10098139</v>
      </c>
      <c r="D1939" s="19" t="s">
        <v>4213</v>
      </c>
      <c r="E1939" s="18" t="s">
        <v>2227</v>
      </c>
      <c r="F1939" s="241">
        <v>6</v>
      </c>
      <c r="G1939" s="3" t="s">
        <v>0</v>
      </c>
      <c r="H1939" s="212">
        <v>42004</v>
      </c>
      <c r="I1939" s="13" t="s">
        <v>998</v>
      </c>
      <c r="J1939" s="3" t="s">
        <v>986</v>
      </c>
      <c r="K1939" s="228" t="s">
        <v>4226</v>
      </c>
      <c r="L1939" s="3" t="s">
        <v>2143</v>
      </c>
      <c r="M1939" s="161">
        <v>23400</v>
      </c>
      <c r="N1939" s="72">
        <f>O1939/F1939</f>
        <v>3900</v>
      </c>
      <c r="O1939" s="161">
        <v>23400</v>
      </c>
      <c r="P1939" s="72">
        <v>11650</v>
      </c>
      <c r="Q1939" s="256">
        <f t="shared" ref="Q1939:Q1948" si="444">R1939-P1939</f>
        <v>2563</v>
      </c>
      <c r="R1939" s="256">
        <f t="shared" ref="R1939:R1948" si="445">P1939*1.22</f>
        <v>14213</v>
      </c>
      <c r="S1939" s="289"/>
      <c r="T1939" s="3">
        <v>119</v>
      </c>
      <c r="U1939" s="292" t="s">
        <v>2322</v>
      </c>
    </row>
    <row r="1940" spans="1:21" ht="36" customHeight="1" x14ac:dyDescent="0.35">
      <c r="A1940" s="218" t="s">
        <v>4246</v>
      </c>
      <c r="B1940" s="3">
        <v>1809</v>
      </c>
      <c r="C1940" s="19">
        <v>10124198</v>
      </c>
      <c r="D1940" s="19" t="s">
        <v>4214</v>
      </c>
      <c r="E1940" s="18" t="s">
        <v>2227</v>
      </c>
      <c r="F1940" s="241">
        <v>1</v>
      </c>
      <c r="G1940" s="3" t="s">
        <v>0</v>
      </c>
      <c r="H1940" s="212">
        <v>42004</v>
      </c>
      <c r="I1940" s="13" t="s">
        <v>4217</v>
      </c>
      <c r="J1940" s="3" t="s">
        <v>986</v>
      </c>
      <c r="K1940" s="229" t="s">
        <v>1883</v>
      </c>
      <c r="L1940" s="3" t="s">
        <v>2143</v>
      </c>
      <c r="M1940" s="161">
        <v>28533.06</v>
      </c>
      <c r="N1940" s="72">
        <f t="shared" ref="N1940:N1948" si="446">O1940/F1940</f>
        <v>28533.06</v>
      </c>
      <c r="O1940" s="161">
        <v>28533.06</v>
      </c>
      <c r="P1940" s="72">
        <v>19020</v>
      </c>
      <c r="Q1940" s="256">
        <f t="shared" si="444"/>
        <v>4184.3999999999996</v>
      </c>
      <c r="R1940" s="256">
        <f t="shared" si="445"/>
        <v>23204.400000000001</v>
      </c>
      <c r="S1940" s="296"/>
      <c r="T1940" s="3">
        <v>119</v>
      </c>
      <c r="U1940" s="294"/>
    </row>
    <row r="1941" spans="1:21" ht="21" customHeight="1" x14ac:dyDescent="0.35">
      <c r="A1941" s="218" t="s">
        <v>4247</v>
      </c>
      <c r="B1941" s="3">
        <v>1810</v>
      </c>
      <c r="C1941" s="19">
        <v>10145214</v>
      </c>
      <c r="D1941" s="19" t="s">
        <v>278</v>
      </c>
      <c r="E1941" s="18" t="s">
        <v>2227</v>
      </c>
      <c r="F1941" s="241">
        <v>1</v>
      </c>
      <c r="G1941" s="3" t="s">
        <v>0</v>
      </c>
      <c r="H1941" s="212">
        <v>42004</v>
      </c>
      <c r="I1941" s="13" t="s">
        <v>4218</v>
      </c>
      <c r="J1941" s="3" t="s">
        <v>986</v>
      </c>
      <c r="K1941" s="229" t="s">
        <v>231</v>
      </c>
      <c r="L1941" s="3" t="s">
        <v>2143</v>
      </c>
      <c r="M1941" s="161">
        <v>22300</v>
      </c>
      <c r="N1941" s="72">
        <f t="shared" si="446"/>
        <v>22300</v>
      </c>
      <c r="O1941" s="161">
        <v>22300</v>
      </c>
      <c r="P1941" s="72">
        <v>12460</v>
      </c>
      <c r="Q1941" s="256">
        <f t="shared" si="444"/>
        <v>2741.2</v>
      </c>
      <c r="R1941" s="256">
        <f t="shared" si="445"/>
        <v>15201.2</v>
      </c>
      <c r="S1941" s="296"/>
      <c r="T1941" s="3">
        <v>119</v>
      </c>
      <c r="U1941" s="294"/>
    </row>
    <row r="1942" spans="1:21" ht="29.5" customHeight="1" x14ac:dyDescent="0.35">
      <c r="A1942" s="218" t="s">
        <v>4249</v>
      </c>
      <c r="B1942" s="3">
        <v>1811</v>
      </c>
      <c r="C1942" s="19">
        <v>10145215</v>
      </c>
      <c r="D1942" s="19" t="s">
        <v>287</v>
      </c>
      <c r="E1942" s="18" t="s">
        <v>2227</v>
      </c>
      <c r="F1942" s="241">
        <v>1</v>
      </c>
      <c r="G1942" s="3" t="s">
        <v>0</v>
      </c>
      <c r="H1942" s="212">
        <v>42004</v>
      </c>
      <c r="I1942" s="13" t="s">
        <v>4219</v>
      </c>
      <c r="J1942" s="3" t="s">
        <v>986</v>
      </c>
      <c r="K1942" s="229" t="s">
        <v>283</v>
      </c>
      <c r="L1942" s="3" t="s">
        <v>2143</v>
      </c>
      <c r="M1942" s="161">
        <v>16400</v>
      </c>
      <c r="N1942" s="72">
        <f t="shared" si="446"/>
        <v>16400</v>
      </c>
      <c r="O1942" s="161">
        <v>16400</v>
      </c>
      <c r="P1942" s="72">
        <v>8170</v>
      </c>
      <c r="Q1942" s="256">
        <f t="shared" si="444"/>
        <v>1797.4</v>
      </c>
      <c r="R1942" s="256">
        <f t="shared" si="445"/>
        <v>9967.4</v>
      </c>
      <c r="S1942" s="296"/>
      <c r="T1942" s="3">
        <v>119</v>
      </c>
      <c r="U1942" s="294"/>
    </row>
    <row r="1943" spans="1:21" ht="30.65" customHeight="1" x14ac:dyDescent="0.35">
      <c r="A1943" s="218" t="s">
        <v>4250</v>
      </c>
      <c r="B1943" s="3">
        <v>1812</v>
      </c>
      <c r="C1943" s="19">
        <v>10145246</v>
      </c>
      <c r="D1943" s="19" t="s">
        <v>280</v>
      </c>
      <c r="E1943" s="18" t="s">
        <v>2227</v>
      </c>
      <c r="F1943" s="241">
        <v>2</v>
      </c>
      <c r="G1943" s="3" t="s">
        <v>0</v>
      </c>
      <c r="H1943" s="212">
        <v>42004</v>
      </c>
      <c r="I1943" s="13" t="s">
        <v>4220</v>
      </c>
      <c r="J1943" s="3" t="s">
        <v>986</v>
      </c>
      <c r="K1943" s="229" t="s">
        <v>4083</v>
      </c>
      <c r="L1943" s="3" t="s">
        <v>2143</v>
      </c>
      <c r="M1943" s="161">
        <v>57000</v>
      </c>
      <c r="N1943" s="72">
        <f t="shared" si="446"/>
        <v>28500</v>
      </c>
      <c r="O1943" s="161">
        <v>57000</v>
      </c>
      <c r="P1943" s="72">
        <v>31840</v>
      </c>
      <c r="Q1943" s="256">
        <f t="shared" si="444"/>
        <v>7004.8</v>
      </c>
      <c r="R1943" s="256">
        <f t="shared" si="445"/>
        <v>38844.800000000003</v>
      </c>
      <c r="S1943" s="296"/>
      <c r="T1943" s="3">
        <v>119</v>
      </c>
      <c r="U1943" s="294"/>
    </row>
    <row r="1944" spans="1:21" ht="30.65" customHeight="1" x14ac:dyDescent="0.35">
      <c r="A1944" s="218" t="s">
        <v>4251</v>
      </c>
      <c r="B1944" s="3">
        <v>1813</v>
      </c>
      <c r="C1944" s="19">
        <v>10145247</v>
      </c>
      <c r="D1944" s="19" t="s">
        <v>281</v>
      </c>
      <c r="E1944" s="18" t="s">
        <v>2227</v>
      </c>
      <c r="F1944" s="241">
        <v>3</v>
      </c>
      <c r="G1944" s="3" t="s">
        <v>0</v>
      </c>
      <c r="H1944" s="212">
        <v>42004</v>
      </c>
      <c r="I1944" s="13" t="s">
        <v>4221</v>
      </c>
      <c r="J1944" s="3" t="s">
        <v>986</v>
      </c>
      <c r="K1944" s="229" t="s">
        <v>230</v>
      </c>
      <c r="L1944" s="3" t="s">
        <v>2143</v>
      </c>
      <c r="M1944" s="161">
        <v>115200</v>
      </c>
      <c r="N1944" s="72">
        <f t="shared" si="446"/>
        <v>38400</v>
      </c>
      <c r="O1944" s="161">
        <v>115200</v>
      </c>
      <c r="P1944" s="72">
        <v>64350</v>
      </c>
      <c r="Q1944" s="256">
        <f t="shared" si="444"/>
        <v>14157</v>
      </c>
      <c r="R1944" s="256">
        <f t="shared" si="445"/>
        <v>78507</v>
      </c>
      <c r="S1944" s="296"/>
      <c r="T1944" s="3">
        <v>119</v>
      </c>
      <c r="U1944" s="294"/>
    </row>
    <row r="1945" spans="1:21" ht="30.65" customHeight="1" x14ac:dyDescent="0.35">
      <c r="A1945" s="218" t="s">
        <v>4252</v>
      </c>
      <c r="B1945" s="3">
        <v>1814</v>
      </c>
      <c r="C1945" s="19">
        <v>10145249</v>
      </c>
      <c r="D1945" s="19" t="s">
        <v>4083</v>
      </c>
      <c r="E1945" s="18" t="s">
        <v>2227</v>
      </c>
      <c r="F1945" s="241">
        <v>2</v>
      </c>
      <c r="G1945" s="3" t="s">
        <v>0</v>
      </c>
      <c r="H1945" s="212">
        <v>42004</v>
      </c>
      <c r="I1945" s="13" t="s">
        <v>4222</v>
      </c>
      <c r="J1945" s="3" t="s">
        <v>986</v>
      </c>
      <c r="K1945" s="229" t="s">
        <v>287</v>
      </c>
      <c r="L1945" s="3" t="s">
        <v>2143</v>
      </c>
      <c r="M1945" s="161">
        <v>37200</v>
      </c>
      <c r="N1945" s="72">
        <f t="shared" si="446"/>
        <v>18600</v>
      </c>
      <c r="O1945" s="161">
        <v>37200</v>
      </c>
      <c r="P1945" s="72">
        <v>24790</v>
      </c>
      <c r="Q1945" s="256">
        <f t="shared" si="444"/>
        <v>5453.8</v>
      </c>
      <c r="R1945" s="256">
        <f t="shared" si="445"/>
        <v>30243.8</v>
      </c>
      <c r="S1945" s="296"/>
      <c r="T1945" s="3">
        <v>119</v>
      </c>
      <c r="U1945" s="294"/>
    </row>
    <row r="1946" spans="1:21" ht="30.65" customHeight="1" x14ac:dyDescent="0.35">
      <c r="A1946" s="218" t="s">
        <v>4253</v>
      </c>
      <c r="B1946" s="3">
        <v>1815</v>
      </c>
      <c r="C1946" s="19">
        <v>10145254</v>
      </c>
      <c r="D1946" s="19" t="s">
        <v>283</v>
      </c>
      <c r="E1946" s="18" t="s">
        <v>2227</v>
      </c>
      <c r="F1946" s="241">
        <v>1</v>
      </c>
      <c r="G1946" s="3" t="s">
        <v>0</v>
      </c>
      <c r="H1946" s="212">
        <v>42004</v>
      </c>
      <c r="I1946" s="13" t="s">
        <v>4223</v>
      </c>
      <c r="J1946" s="3" t="s">
        <v>986</v>
      </c>
      <c r="K1946" s="229" t="s">
        <v>280</v>
      </c>
      <c r="L1946" s="3" t="s">
        <v>2143</v>
      </c>
      <c r="M1946" s="161">
        <v>54850</v>
      </c>
      <c r="N1946" s="72">
        <f t="shared" si="446"/>
        <v>54850</v>
      </c>
      <c r="O1946" s="161">
        <v>54850</v>
      </c>
      <c r="P1946" s="72">
        <v>30640</v>
      </c>
      <c r="Q1946" s="256">
        <f t="shared" si="444"/>
        <v>6740.8</v>
      </c>
      <c r="R1946" s="256">
        <f t="shared" si="445"/>
        <v>37380.800000000003</v>
      </c>
      <c r="S1946" s="296"/>
      <c r="T1946" s="3">
        <v>119</v>
      </c>
      <c r="U1946" s="294"/>
    </row>
    <row r="1947" spans="1:21" ht="30.65" customHeight="1" x14ac:dyDescent="0.35">
      <c r="A1947" s="218" t="s">
        <v>4254</v>
      </c>
      <c r="B1947" s="3">
        <v>1816</v>
      </c>
      <c r="C1947" s="19">
        <v>10145283</v>
      </c>
      <c r="D1947" s="19" t="s">
        <v>230</v>
      </c>
      <c r="E1947" s="18" t="s">
        <v>2227</v>
      </c>
      <c r="F1947" s="241">
        <v>1</v>
      </c>
      <c r="G1947" s="3" t="s">
        <v>0</v>
      </c>
      <c r="H1947" s="212">
        <v>42004</v>
      </c>
      <c r="I1947" s="13" t="s">
        <v>4224</v>
      </c>
      <c r="J1947" s="3" t="s">
        <v>986</v>
      </c>
      <c r="K1947" s="229" t="s">
        <v>281</v>
      </c>
      <c r="L1947" s="3" t="s">
        <v>2143</v>
      </c>
      <c r="M1947" s="161">
        <v>41750</v>
      </c>
      <c r="N1947" s="72">
        <f t="shared" si="446"/>
        <v>41750</v>
      </c>
      <c r="O1947" s="161">
        <v>41750</v>
      </c>
      <c r="P1947" s="72">
        <v>23320</v>
      </c>
      <c r="Q1947" s="256">
        <f t="shared" si="444"/>
        <v>5130.3999999999996</v>
      </c>
      <c r="R1947" s="256">
        <f t="shared" si="445"/>
        <v>28450.400000000001</v>
      </c>
      <c r="S1947" s="296"/>
      <c r="T1947" s="3">
        <v>119</v>
      </c>
      <c r="U1947" s="294"/>
    </row>
    <row r="1948" spans="1:21" ht="30.65" customHeight="1" x14ac:dyDescent="0.35">
      <c r="A1948" s="218" t="s">
        <v>4255</v>
      </c>
      <c r="B1948" s="3">
        <v>1817</v>
      </c>
      <c r="C1948" s="19">
        <v>10145285</v>
      </c>
      <c r="D1948" s="19" t="s">
        <v>231</v>
      </c>
      <c r="E1948" s="18" t="s">
        <v>2227</v>
      </c>
      <c r="F1948" s="241">
        <v>1</v>
      </c>
      <c r="G1948" s="3" t="s">
        <v>0</v>
      </c>
      <c r="H1948" s="212">
        <v>42004</v>
      </c>
      <c r="I1948" s="13" t="s">
        <v>4225</v>
      </c>
      <c r="J1948" s="3" t="s">
        <v>986</v>
      </c>
      <c r="K1948" s="229" t="s">
        <v>278</v>
      </c>
      <c r="L1948" s="3" t="s">
        <v>2143</v>
      </c>
      <c r="M1948" s="161">
        <v>99600</v>
      </c>
      <c r="N1948" s="72">
        <f t="shared" si="446"/>
        <v>99600</v>
      </c>
      <c r="O1948" s="161">
        <v>99600</v>
      </c>
      <c r="P1948" s="72">
        <v>49590</v>
      </c>
      <c r="Q1948" s="256">
        <f t="shared" si="444"/>
        <v>10909.8</v>
      </c>
      <c r="R1948" s="256">
        <f t="shared" si="445"/>
        <v>60499.8</v>
      </c>
      <c r="S1948" s="297"/>
      <c r="T1948" s="3">
        <v>119</v>
      </c>
      <c r="U1948" s="294"/>
    </row>
    <row r="1949" spans="1:21" ht="15" customHeight="1" x14ac:dyDescent="0.35">
      <c r="A1949" s="218"/>
      <c r="B1949" s="94"/>
      <c r="C1949" s="3"/>
      <c r="D1949" s="3"/>
      <c r="E1949" s="3"/>
      <c r="F1949" s="241"/>
      <c r="G1949" s="3"/>
      <c r="H1949" s="3"/>
      <c r="I1949" s="3"/>
      <c r="J1949" s="3"/>
      <c r="K1949" s="3"/>
      <c r="L1949" s="3"/>
      <c r="M1949" s="3"/>
      <c r="N1949" s="72"/>
      <c r="O1949" s="203">
        <f>SUM(O1939:O1948)</f>
        <v>496233.06</v>
      </c>
      <c r="P1949" s="82">
        <f t="shared" ref="P1949:Q1949" si="447">SUM(P1939:P1948)</f>
        <v>275830</v>
      </c>
      <c r="Q1949" s="279">
        <f t="shared" si="447"/>
        <v>60682.6</v>
      </c>
      <c r="R1949" s="279">
        <f>SUM(R1939:R1948)</f>
        <v>336512.6</v>
      </c>
      <c r="S1949" s="286">
        <f>R1949/100*10</f>
        <v>33651.26</v>
      </c>
      <c r="T1949" s="104">
        <v>119</v>
      </c>
      <c r="U1949" s="295"/>
    </row>
    <row r="1950" spans="1:21" ht="20.5" customHeight="1" x14ac:dyDescent="0.35">
      <c r="A1950" s="218" t="s">
        <v>4256</v>
      </c>
      <c r="B1950" s="3">
        <v>1818</v>
      </c>
      <c r="C1950" s="2" t="s">
        <v>4230</v>
      </c>
      <c r="D1950" s="2" t="s">
        <v>4229</v>
      </c>
      <c r="E1950" s="2" t="s">
        <v>4231</v>
      </c>
      <c r="F1950" s="241">
        <v>1</v>
      </c>
      <c r="G1950" s="3" t="s">
        <v>0</v>
      </c>
      <c r="H1950" s="240">
        <v>43804</v>
      </c>
      <c r="I1950" s="16" t="s">
        <v>1003</v>
      </c>
      <c r="J1950" s="14" t="s">
        <v>4232</v>
      </c>
      <c r="K1950" s="230" t="s">
        <v>4229</v>
      </c>
      <c r="L1950" s="3" t="s">
        <v>977</v>
      </c>
      <c r="M1950" s="161">
        <v>133497.16</v>
      </c>
      <c r="N1950" s="72">
        <f>O1950/F1950</f>
        <v>133497.16</v>
      </c>
      <c r="O1950" s="161">
        <v>133497.16</v>
      </c>
      <c r="P1950" s="72">
        <v>186700</v>
      </c>
      <c r="Q1950" s="256">
        <f>R1950-P1950</f>
        <v>41074</v>
      </c>
      <c r="R1950" s="256">
        <f>P1950*1.22</f>
        <v>227774</v>
      </c>
      <c r="S1950" s="281"/>
      <c r="T1950" s="3">
        <v>120</v>
      </c>
      <c r="U1950" s="292" t="s">
        <v>4257</v>
      </c>
    </row>
    <row r="1951" spans="1:21" ht="20.5" customHeight="1" x14ac:dyDescent="0.35">
      <c r="A1951" s="218"/>
      <c r="B1951" s="94"/>
      <c r="C1951" s="2"/>
      <c r="D1951" s="217"/>
      <c r="E1951" s="2"/>
      <c r="F1951" s="3"/>
      <c r="G1951" s="3"/>
      <c r="H1951" s="213"/>
      <c r="I1951" s="16"/>
      <c r="J1951" s="14"/>
      <c r="K1951" s="3"/>
      <c r="L1951" s="3"/>
      <c r="M1951" s="161"/>
      <c r="N1951" s="72"/>
      <c r="O1951" s="203">
        <v>133497.16</v>
      </c>
      <c r="P1951" s="279">
        <f>P1950</f>
        <v>186700</v>
      </c>
      <c r="Q1951" s="279">
        <f>Q1950</f>
        <v>41074</v>
      </c>
      <c r="R1951" s="279">
        <f>R1950</f>
        <v>227774</v>
      </c>
      <c r="S1951" s="286">
        <f>R1951/100*10</f>
        <v>22777.4</v>
      </c>
      <c r="T1951" s="104">
        <v>120</v>
      </c>
      <c r="U1951" s="293"/>
    </row>
    <row r="1952" spans="1:21" ht="20.5" customHeight="1" x14ac:dyDescent="0.35">
      <c r="A1952" s="239" t="s">
        <v>4479</v>
      </c>
      <c r="B1952" s="3">
        <v>1819</v>
      </c>
      <c r="C1952" s="247">
        <v>102010965</v>
      </c>
      <c r="D1952" s="247" t="s">
        <v>4361</v>
      </c>
      <c r="E1952" s="248" t="s">
        <v>4391</v>
      </c>
      <c r="F1952" s="249">
        <v>150</v>
      </c>
      <c r="G1952" s="250" t="s">
        <v>0</v>
      </c>
      <c r="H1952" s="251">
        <v>43070</v>
      </c>
      <c r="I1952" s="252" t="s">
        <v>985</v>
      </c>
      <c r="J1952" s="253" t="s">
        <v>1962</v>
      </c>
      <c r="K1952" s="253" t="s">
        <v>988</v>
      </c>
      <c r="L1952" s="254" t="s">
        <v>977</v>
      </c>
      <c r="M1952" s="255">
        <v>2332.5</v>
      </c>
      <c r="N1952" s="256">
        <f t="shared" ref="N1952:N1966" si="448">O1952/F1952</f>
        <v>15.55</v>
      </c>
      <c r="O1952" s="255">
        <v>2332.5</v>
      </c>
      <c r="P1952" s="72">
        <v>4090</v>
      </c>
      <c r="Q1952" s="256">
        <f t="shared" ref="Q1952:Q1982" si="449">R1952-P1952</f>
        <v>899.8</v>
      </c>
      <c r="R1952" s="256">
        <f t="shared" ref="R1952:R1982" si="450">P1952*1.22</f>
        <v>4989.8</v>
      </c>
      <c r="S1952" s="289"/>
      <c r="T1952" s="254">
        <v>121</v>
      </c>
      <c r="U1952" s="292" t="s">
        <v>4575</v>
      </c>
    </row>
    <row r="1953" spans="1:21" ht="20.5" customHeight="1" x14ac:dyDescent="0.35">
      <c r="A1953" s="239" t="s">
        <v>4480</v>
      </c>
      <c r="B1953" s="3">
        <v>1820</v>
      </c>
      <c r="C1953" s="247">
        <v>102011833</v>
      </c>
      <c r="D1953" s="247" t="s">
        <v>4362</v>
      </c>
      <c r="E1953" s="248" t="s">
        <v>4391</v>
      </c>
      <c r="F1953" s="249">
        <v>3</v>
      </c>
      <c r="G1953" s="250" t="s">
        <v>0</v>
      </c>
      <c r="H1953" s="251">
        <v>42534</v>
      </c>
      <c r="I1953" s="252" t="s">
        <v>985</v>
      </c>
      <c r="J1953" s="253" t="s">
        <v>1962</v>
      </c>
      <c r="K1953" s="253" t="s">
        <v>988</v>
      </c>
      <c r="L1953" s="254" t="s">
        <v>977</v>
      </c>
      <c r="M1953" s="255">
        <v>21772.26</v>
      </c>
      <c r="N1953" s="256">
        <f t="shared" si="448"/>
        <v>7257.42</v>
      </c>
      <c r="O1953" s="255">
        <v>21772.26</v>
      </c>
      <c r="P1953" s="72">
        <v>39540</v>
      </c>
      <c r="Q1953" s="256">
        <f t="shared" si="449"/>
        <v>8698.7999999999993</v>
      </c>
      <c r="R1953" s="256">
        <f t="shared" si="450"/>
        <v>48238.8</v>
      </c>
      <c r="S1953" s="290"/>
      <c r="T1953" s="254">
        <v>121</v>
      </c>
      <c r="U1953" s="294"/>
    </row>
    <row r="1954" spans="1:21" ht="20.5" customHeight="1" x14ac:dyDescent="0.35">
      <c r="A1954" s="239" t="s">
        <v>4481</v>
      </c>
      <c r="B1954" s="3">
        <v>1821</v>
      </c>
      <c r="C1954" s="247">
        <v>102018905</v>
      </c>
      <c r="D1954" s="247" t="s">
        <v>4363</v>
      </c>
      <c r="E1954" s="248" t="s">
        <v>4391</v>
      </c>
      <c r="F1954" s="249">
        <v>2</v>
      </c>
      <c r="G1954" s="250" t="s">
        <v>0</v>
      </c>
      <c r="H1954" s="251">
        <v>43070</v>
      </c>
      <c r="I1954" s="252" t="s">
        <v>985</v>
      </c>
      <c r="J1954" s="253" t="s">
        <v>1962</v>
      </c>
      <c r="K1954" s="253" t="s">
        <v>988</v>
      </c>
      <c r="L1954" s="254" t="s">
        <v>977</v>
      </c>
      <c r="M1954" s="255">
        <v>2561.54</v>
      </c>
      <c r="N1954" s="256">
        <f t="shared" si="448"/>
        <v>1280.77</v>
      </c>
      <c r="O1954" s="255">
        <v>2561.54</v>
      </c>
      <c r="P1954" s="72">
        <v>4490</v>
      </c>
      <c r="Q1954" s="256">
        <f t="shared" si="449"/>
        <v>987.8</v>
      </c>
      <c r="R1954" s="256">
        <f t="shared" si="450"/>
        <v>5477.8</v>
      </c>
      <c r="S1954" s="290"/>
      <c r="T1954" s="254">
        <v>121</v>
      </c>
      <c r="U1954" s="294"/>
    </row>
    <row r="1955" spans="1:21" ht="26.25" customHeight="1" x14ac:dyDescent="0.35">
      <c r="A1955" s="239" t="s">
        <v>4482</v>
      </c>
      <c r="B1955" s="3">
        <v>1822</v>
      </c>
      <c r="C1955" s="247">
        <v>102018927</v>
      </c>
      <c r="D1955" s="247" t="s">
        <v>4364</v>
      </c>
      <c r="E1955" s="248" t="s">
        <v>4391</v>
      </c>
      <c r="F1955" s="249">
        <v>2</v>
      </c>
      <c r="G1955" s="250" t="s">
        <v>0</v>
      </c>
      <c r="H1955" s="251">
        <v>43070</v>
      </c>
      <c r="I1955" s="252" t="s">
        <v>985</v>
      </c>
      <c r="J1955" s="253" t="s">
        <v>4398</v>
      </c>
      <c r="K1955" s="253" t="s">
        <v>988</v>
      </c>
      <c r="L1955" s="254" t="s">
        <v>977</v>
      </c>
      <c r="M1955" s="255">
        <v>2551.7199999999998</v>
      </c>
      <c r="N1955" s="256">
        <f t="shared" si="448"/>
        <v>1275.8599999999999</v>
      </c>
      <c r="O1955" s="255">
        <v>2551.7199999999998</v>
      </c>
      <c r="P1955" s="72">
        <v>4470</v>
      </c>
      <c r="Q1955" s="256">
        <f t="shared" si="449"/>
        <v>983.4</v>
      </c>
      <c r="R1955" s="256">
        <f t="shared" si="450"/>
        <v>5453.4</v>
      </c>
      <c r="S1955" s="290"/>
      <c r="T1955" s="254">
        <v>121</v>
      </c>
      <c r="U1955" s="294"/>
    </row>
    <row r="1956" spans="1:21" ht="20.5" customHeight="1" x14ac:dyDescent="0.35">
      <c r="A1956" s="239" t="s">
        <v>4483</v>
      </c>
      <c r="B1956" s="3">
        <v>1823</v>
      </c>
      <c r="C1956" s="247">
        <v>102012862</v>
      </c>
      <c r="D1956" s="247" t="s">
        <v>4365</v>
      </c>
      <c r="E1956" s="248" t="s">
        <v>4391</v>
      </c>
      <c r="F1956" s="249">
        <v>7</v>
      </c>
      <c r="G1956" s="250" t="s">
        <v>0</v>
      </c>
      <c r="H1956" s="251">
        <v>43040</v>
      </c>
      <c r="I1956" s="252" t="s">
        <v>985</v>
      </c>
      <c r="J1956" s="253" t="s">
        <v>1962</v>
      </c>
      <c r="K1956" s="253" t="s">
        <v>988</v>
      </c>
      <c r="L1956" s="254" t="s">
        <v>977</v>
      </c>
      <c r="M1956" s="255">
        <v>9275.2099999999991</v>
      </c>
      <c r="N1956" s="256">
        <f t="shared" si="448"/>
        <v>1325.03</v>
      </c>
      <c r="O1956" s="255">
        <v>9275.2099999999991</v>
      </c>
      <c r="P1956" s="72">
        <v>16290</v>
      </c>
      <c r="Q1956" s="256">
        <f t="shared" si="449"/>
        <v>3583.8</v>
      </c>
      <c r="R1956" s="256">
        <f t="shared" si="450"/>
        <v>19873.8</v>
      </c>
      <c r="S1956" s="290"/>
      <c r="T1956" s="254">
        <v>121</v>
      </c>
      <c r="U1956" s="294"/>
    </row>
    <row r="1957" spans="1:21" ht="20.5" customHeight="1" x14ac:dyDescent="0.35">
      <c r="A1957" s="239" t="s">
        <v>4484</v>
      </c>
      <c r="B1957" s="3">
        <v>1824</v>
      </c>
      <c r="C1957" s="247">
        <v>102011762</v>
      </c>
      <c r="D1957" s="247" t="s">
        <v>4366</v>
      </c>
      <c r="E1957" s="248" t="s">
        <v>4391</v>
      </c>
      <c r="F1957" s="249">
        <v>11</v>
      </c>
      <c r="G1957" s="250" t="s">
        <v>0</v>
      </c>
      <c r="H1957" s="251">
        <v>43070</v>
      </c>
      <c r="I1957" s="252" t="s">
        <v>985</v>
      </c>
      <c r="J1957" s="253" t="s">
        <v>1962</v>
      </c>
      <c r="K1957" s="253" t="s">
        <v>988</v>
      </c>
      <c r="L1957" s="254" t="s">
        <v>977</v>
      </c>
      <c r="M1957" s="255">
        <v>8109.42</v>
      </c>
      <c r="N1957" s="256">
        <f t="shared" si="448"/>
        <v>737.22</v>
      </c>
      <c r="O1957" s="255">
        <v>8109.42</v>
      </c>
      <c r="P1957" s="72">
        <v>14200</v>
      </c>
      <c r="Q1957" s="256">
        <f t="shared" si="449"/>
        <v>3124</v>
      </c>
      <c r="R1957" s="256">
        <f t="shared" si="450"/>
        <v>17324</v>
      </c>
      <c r="S1957" s="290"/>
      <c r="T1957" s="254">
        <v>121</v>
      </c>
      <c r="U1957" s="294"/>
    </row>
    <row r="1958" spans="1:21" ht="20.5" customHeight="1" x14ac:dyDescent="0.35">
      <c r="A1958" s="239" t="s">
        <v>4485</v>
      </c>
      <c r="B1958" s="3">
        <v>1825</v>
      </c>
      <c r="C1958" s="247">
        <v>102018895</v>
      </c>
      <c r="D1958" s="247" t="s">
        <v>4367</v>
      </c>
      <c r="E1958" s="248" t="s">
        <v>4391</v>
      </c>
      <c r="F1958" s="249">
        <v>31</v>
      </c>
      <c r="G1958" s="250" t="s">
        <v>0</v>
      </c>
      <c r="H1958" s="251">
        <v>43040</v>
      </c>
      <c r="I1958" s="252" t="s">
        <v>985</v>
      </c>
      <c r="J1958" s="253" t="s">
        <v>1962</v>
      </c>
      <c r="K1958" s="253" t="s">
        <v>988</v>
      </c>
      <c r="L1958" s="254" t="s">
        <v>977</v>
      </c>
      <c r="M1958" s="255">
        <v>8866.93</v>
      </c>
      <c r="N1958" s="256">
        <f t="shared" si="448"/>
        <v>286.02999999999997</v>
      </c>
      <c r="O1958" s="255">
        <v>8866.93</v>
      </c>
      <c r="P1958" s="72">
        <v>15570</v>
      </c>
      <c r="Q1958" s="256">
        <f t="shared" si="449"/>
        <v>3425.4</v>
      </c>
      <c r="R1958" s="256">
        <f t="shared" si="450"/>
        <v>18995.400000000001</v>
      </c>
      <c r="S1958" s="290"/>
      <c r="T1958" s="254">
        <v>121</v>
      </c>
      <c r="U1958" s="294"/>
    </row>
    <row r="1959" spans="1:21" ht="20.5" customHeight="1" x14ac:dyDescent="0.35">
      <c r="A1959" s="239" t="s">
        <v>4486</v>
      </c>
      <c r="B1959" s="3">
        <v>1826</v>
      </c>
      <c r="C1959" s="247">
        <v>102018894</v>
      </c>
      <c r="D1959" s="247" t="s">
        <v>4368</v>
      </c>
      <c r="E1959" s="248" t="s">
        <v>4391</v>
      </c>
      <c r="F1959" s="249">
        <v>62</v>
      </c>
      <c r="G1959" s="250" t="s">
        <v>0</v>
      </c>
      <c r="H1959" s="251">
        <v>43040</v>
      </c>
      <c r="I1959" s="252" t="s">
        <v>985</v>
      </c>
      <c r="J1959" s="253" t="s">
        <v>1962</v>
      </c>
      <c r="K1959" s="253" t="s">
        <v>988</v>
      </c>
      <c r="L1959" s="254" t="s">
        <v>977</v>
      </c>
      <c r="M1959" s="255">
        <v>16744.34</v>
      </c>
      <c r="N1959" s="256">
        <f t="shared" si="448"/>
        <v>270.07</v>
      </c>
      <c r="O1959" s="255">
        <v>16744.34</v>
      </c>
      <c r="P1959" s="72">
        <v>29400</v>
      </c>
      <c r="Q1959" s="256">
        <f t="shared" si="449"/>
        <v>6468</v>
      </c>
      <c r="R1959" s="256">
        <f t="shared" si="450"/>
        <v>35868</v>
      </c>
      <c r="S1959" s="290"/>
      <c r="T1959" s="254">
        <v>121</v>
      </c>
      <c r="U1959" s="294"/>
    </row>
    <row r="1960" spans="1:21" ht="20.5" customHeight="1" x14ac:dyDescent="0.35">
      <c r="A1960" s="239" t="s">
        <v>4487</v>
      </c>
      <c r="B1960" s="3">
        <v>1827</v>
      </c>
      <c r="C1960" s="247">
        <v>102017497</v>
      </c>
      <c r="D1960" s="247" t="s">
        <v>4369</v>
      </c>
      <c r="E1960" s="248" t="s">
        <v>4391</v>
      </c>
      <c r="F1960" s="249">
        <v>16</v>
      </c>
      <c r="G1960" s="250" t="s">
        <v>0</v>
      </c>
      <c r="H1960" s="251">
        <v>43070</v>
      </c>
      <c r="I1960" s="252" t="s">
        <v>985</v>
      </c>
      <c r="J1960" s="253" t="s">
        <v>1962</v>
      </c>
      <c r="K1960" s="253" t="s">
        <v>988</v>
      </c>
      <c r="L1960" s="254" t="s">
        <v>977</v>
      </c>
      <c r="M1960" s="255">
        <v>5608.96</v>
      </c>
      <c r="N1960" s="256">
        <f t="shared" si="448"/>
        <v>350.56</v>
      </c>
      <c r="O1960" s="255">
        <v>5608.96</v>
      </c>
      <c r="P1960" s="72">
        <v>9820</v>
      </c>
      <c r="Q1960" s="256">
        <f t="shared" si="449"/>
        <v>2160.4</v>
      </c>
      <c r="R1960" s="256">
        <f t="shared" si="450"/>
        <v>11980.4</v>
      </c>
      <c r="S1960" s="290"/>
      <c r="T1960" s="254">
        <v>121</v>
      </c>
      <c r="U1960" s="294"/>
    </row>
    <row r="1961" spans="1:21" ht="20.5" customHeight="1" x14ac:dyDescent="0.35">
      <c r="A1961" s="239" t="s">
        <v>4488</v>
      </c>
      <c r="B1961" s="3">
        <v>1828</v>
      </c>
      <c r="C1961" s="247">
        <v>102019021</v>
      </c>
      <c r="D1961" s="247" t="s">
        <v>4370</v>
      </c>
      <c r="E1961" s="248" t="s">
        <v>4391</v>
      </c>
      <c r="F1961" s="249">
        <v>50</v>
      </c>
      <c r="G1961" s="250" t="s">
        <v>0</v>
      </c>
      <c r="H1961" s="251">
        <v>43070</v>
      </c>
      <c r="I1961" s="252" t="s">
        <v>985</v>
      </c>
      <c r="J1961" s="253" t="s">
        <v>1962</v>
      </c>
      <c r="K1961" s="253" t="s">
        <v>988</v>
      </c>
      <c r="L1961" s="254" t="s">
        <v>977</v>
      </c>
      <c r="M1961" s="255">
        <v>7809</v>
      </c>
      <c r="N1961" s="256">
        <f t="shared" si="448"/>
        <v>156.18</v>
      </c>
      <c r="O1961" s="255">
        <v>7809</v>
      </c>
      <c r="P1961" s="72">
        <v>13680</v>
      </c>
      <c r="Q1961" s="256">
        <f t="shared" si="449"/>
        <v>3009.6</v>
      </c>
      <c r="R1961" s="256">
        <f t="shared" si="450"/>
        <v>16689.599999999999</v>
      </c>
      <c r="S1961" s="290"/>
      <c r="T1961" s="254">
        <v>121</v>
      </c>
      <c r="U1961" s="294"/>
    </row>
    <row r="1962" spans="1:21" ht="20.5" customHeight="1" x14ac:dyDescent="0.35">
      <c r="A1962" s="239" t="s">
        <v>4489</v>
      </c>
      <c r="B1962" s="3">
        <v>1829</v>
      </c>
      <c r="C1962" s="247">
        <v>102018997</v>
      </c>
      <c r="D1962" s="247" t="s">
        <v>4371</v>
      </c>
      <c r="E1962" s="248" t="s">
        <v>4391</v>
      </c>
      <c r="F1962" s="249">
        <v>22</v>
      </c>
      <c r="G1962" s="250" t="s">
        <v>0</v>
      </c>
      <c r="H1962" s="251">
        <v>43070</v>
      </c>
      <c r="I1962" s="252" t="s">
        <v>985</v>
      </c>
      <c r="J1962" s="253" t="s">
        <v>1962</v>
      </c>
      <c r="K1962" s="253" t="s">
        <v>988</v>
      </c>
      <c r="L1962" s="254" t="s">
        <v>977</v>
      </c>
      <c r="M1962" s="255">
        <v>113.96</v>
      </c>
      <c r="N1962" s="256">
        <f t="shared" si="448"/>
        <v>5.18</v>
      </c>
      <c r="O1962" s="255">
        <v>113.96</v>
      </c>
      <c r="P1962" s="72">
        <v>200</v>
      </c>
      <c r="Q1962" s="256">
        <f t="shared" si="449"/>
        <v>44</v>
      </c>
      <c r="R1962" s="256">
        <f t="shared" si="450"/>
        <v>244</v>
      </c>
      <c r="S1962" s="290"/>
      <c r="T1962" s="254">
        <v>121</v>
      </c>
      <c r="U1962" s="294"/>
    </row>
    <row r="1963" spans="1:21" ht="20.5" customHeight="1" x14ac:dyDescent="0.35">
      <c r="A1963" s="239" t="s">
        <v>4490</v>
      </c>
      <c r="B1963" s="3">
        <v>1830</v>
      </c>
      <c r="C1963" s="247">
        <v>102011790</v>
      </c>
      <c r="D1963" s="247" t="s">
        <v>4372</v>
      </c>
      <c r="E1963" s="248" t="s">
        <v>4391</v>
      </c>
      <c r="F1963" s="249">
        <v>2</v>
      </c>
      <c r="G1963" s="250" t="s">
        <v>0</v>
      </c>
      <c r="H1963" s="251">
        <v>43070</v>
      </c>
      <c r="I1963" s="252" t="s">
        <v>985</v>
      </c>
      <c r="J1963" s="253" t="s">
        <v>1962</v>
      </c>
      <c r="K1963" s="253" t="s">
        <v>988</v>
      </c>
      <c r="L1963" s="254" t="s">
        <v>977</v>
      </c>
      <c r="M1963" s="255">
        <v>8197.74</v>
      </c>
      <c r="N1963" s="256">
        <f t="shared" si="448"/>
        <v>4098.87</v>
      </c>
      <c r="O1963" s="255">
        <v>8197.74</v>
      </c>
      <c r="P1963" s="72">
        <v>14360</v>
      </c>
      <c r="Q1963" s="256">
        <f t="shared" si="449"/>
        <v>3159.2</v>
      </c>
      <c r="R1963" s="256">
        <f t="shared" si="450"/>
        <v>17519.2</v>
      </c>
      <c r="S1963" s="290"/>
      <c r="T1963" s="254">
        <v>121</v>
      </c>
      <c r="U1963" s="294"/>
    </row>
    <row r="1964" spans="1:21" ht="73.5" customHeight="1" x14ac:dyDescent="0.35">
      <c r="A1964" s="239" t="s">
        <v>4491</v>
      </c>
      <c r="B1964" s="3">
        <v>1831</v>
      </c>
      <c r="C1964" s="247">
        <v>102011752</v>
      </c>
      <c r="D1964" s="247" t="s">
        <v>4373</v>
      </c>
      <c r="E1964" s="248" t="s">
        <v>4391</v>
      </c>
      <c r="F1964" s="249">
        <v>4</v>
      </c>
      <c r="G1964" s="250" t="s">
        <v>0</v>
      </c>
      <c r="H1964" s="251">
        <v>43070</v>
      </c>
      <c r="I1964" s="252" t="s">
        <v>985</v>
      </c>
      <c r="J1964" s="257" t="s">
        <v>4428</v>
      </c>
      <c r="K1964" s="253" t="s">
        <v>988</v>
      </c>
      <c r="L1964" s="254" t="s">
        <v>977</v>
      </c>
      <c r="M1964" s="255">
        <v>7950.72</v>
      </c>
      <c r="N1964" s="256">
        <f t="shared" si="448"/>
        <v>1987.68</v>
      </c>
      <c r="O1964" s="255">
        <v>7950.72</v>
      </c>
      <c r="P1964" s="72">
        <v>13930</v>
      </c>
      <c r="Q1964" s="256">
        <f t="shared" si="449"/>
        <v>3064.6</v>
      </c>
      <c r="R1964" s="256">
        <f t="shared" si="450"/>
        <v>16994.599999999999</v>
      </c>
      <c r="S1964" s="290"/>
      <c r="T1964" s="254">
        <v>121</v>
      </c>
      <c r="U1964" s="294"/>
    </row>
    <row r="1965" spans="1:21" ht="20.5" customHeight="1" x14ac:dyDescent="0.35">
      <c r="A1965" s="239" t="s">
        <v>4492</v>
      </c>
      <c r="B1965" s="3">
        <v>1832</v>
      </c>
      <c r="C1965" s="247">
        <v>102022277</v>
      </c>
      <c r="D1965" s="247" t="s">
        <v>4374</v>
      </c>
      <c r="E1965" s="248" t="s">
        <v>4391</v>
      </c>
      <c r="F1965" s="249">
        <v>1</v>
      </c>
      <c r="G1965" s="250" t="s">
        <v>0</v>
      </c>
      <c r="H1965" s="251">
        <v>43070</v>
      </c>
      <c r="I1965" s="252" t="s">
        <v>985</v>
      </c>
      <c r="J1965" s="253" t="s">
        <v>1962</v>
      </c>
      <c r="K1965" s="253" t="s">
        <v>988</v>
      </c>
      <c r="L1965" s="254" t="s">
        <v>977</v>
      </c>
      <c r="M1965" s="255">
        <v>69785.119999999995</v>
      </c>
      <c r="N1965" s="256">
        <f t="shared" si="448"/>
        <v>69785.119999999995</v>
      </c>
      <c r="O1965" s="255">
        <v>69785.119999999995</v>
      </c>
      <c r="P1965" s="72">
        <v>122230</v>
      </c>
      <c r="Q1965" s="256">
        <f t="shared" si="449"/>
        <v>26890.6</v>
      </c>
      <c r="R1965" s="256">
        <f t="shared" si="450"/>
        <v>149120.6</v>
      </c>
      <c r="S1965" s="290"/>
      <c r="T1965" s="254">
        <v>121</v>
      </c>
      <c r="U1965" s="294"/>
    </row>
    <row r="1966" spans="1:21" ht="20.5" customHeight="1" x14ac:dyDescent="0.35">
      <c r="A1966" s="239" t="s">
        <v>4493</v>
      </c>
      <c r="B1966" s="3">
        <v>1833</v>
      </c>
      <c r="C1966" s="247">
        <v>102011749</v>
      </c>
      <c r="D1966" s="247" t="s">
        <v>4190</v>
      </c>
      <c r="E1966" s="248" t="s">
        <v>4391</v>
      </c>
      <c r="F1966" s="249">
        <v>1</v>
      </c>
      <c r="G1966" s="250" t="s">
        <v>0</v>
      </c>
      <c r="H1966" s="251">
        <v>42527</v>
      </c>
      <c r="I1966" s="252" t="s">
        <v>985</v>
      </c>
      <c r="J1966" s="253" t="s">
        <v>1962</v>
      </c>
      <c r="K1966" s="253" t="s">
        <v>988</v>
      </c>
      <c r="L1966" s="254" t="s">
        <v>977</v>
      </c>
      <c r="M1966" s="255">
        <v>177899.9</v>
      </c>
      <c r="N1966" s="256">
        <f t="shared" si="448"/>
        <v>177899.9</v>
      </c>
      <c r="O1966" s="255">
        <v>177899.9</v>
      </c>
      <c r="P1966" s="72">
        <v>323070</v>
      </c>
      <c r="Q1966" s="256">
        <f t="shared" si="449"/>
        <v>71075.399999999994</v>
      </c>
      <c r="R1966" s="256">
        <f t="shared" si="450"/>
        <v>394145.4</v>
      </c>
      <c r="S1966" s="290"/>
      <c r="T1966" s="254">
        <v>121</v>
      </c>
      <c r="U1966" s="294"/>
    </row>
    <row r="1967" spans="1:21" ht="20.5" customHeight="1" x14ac:dyDescent="0.35">
      <c r="A1967" s="239" t="s">
        <v>4494</v>
      </c>
      <c r="B1967" s="3">
        <v>1834</v>
      </c>
      <c r="C1967" s="247">
        <v>102022730</v>
      </c>
      <c r="D1967" s="247" t="s">
        <v>4375</v>
      </c>
      <c r="E1967" s="248" t="s">
        <v>4391</v>
      </c>
      <c r="F1967" s="249">
        <v>10</v>
      </c>
      <c r="G1967" s="250" t="s">
        <v>0</v>
      </c>
      <c r="H1967" s="251">
        <v>43040</v>
      </c>
      <c r="I1967" s="252" t="s">
        <v>985</v>
      </c>
      <c r="J1967" s="253" t="s">
        <v>1962</v>
      </c>
      <c r="K1967" s="253" t="s">
        <v>988</v>
      </c>
      <c r="L1967" s="254" t="s">
        <v>977</v>
      </c>
      <c r="M1967" s="255">
        <v>4265.2</v>
      </c>
      <c r="N1967" s="256">
        <f t="shared" ref="N1967:N1982" si="451">O1967/F1967</f>
        <v>426.52</v>
      </c>
      <c r="O1967" s="255">
        <v>4265.2</v>
      </c>
      <c r="P1967" s="72">
        <v>7490</v>
      </c>
      <c r="Q1967" s="256">
        <f t="shared" si="449"/>
        <v>1647.8</v>
      </c>
      <c r="R1967" s="256">
        <f t="shared" si="450"/>
        <v>9137.7999999999993</v>
      </c>
      <c r="S1967" s="290"/>
      <c r="T1967" s="254">
        <v>121</v>
      </c>
      <c r="U1967" s="294"/>
    </row>
    <row r="1968" spans="1:21" ht="20.25" customHeight="1" x14ac:dyDescent="0.35">
      <c r="A1968" s="239" t="s">
        <v>4495</v>
      </c>
      <c r="B1968" s="3">
        <v>1835</v>
      </c>
      <c r="C1968" s="247">
        <v>102022272</v>
      </c>
      <c r="D1968" s="247" t="s">
        <v>4376</v>
      </c>
      <c r="E1968" s="248" t="s">
        <v>4391</v>
      </c>
      <c r="F1968" s="249">
        <v>7</v>
      </c>
      <c r="G1968" s="250" t="s">
        <v>0</v>
      </c>
      <c r="H1968" s="251">
        <v>43040</v>
      </c>
      <c r="I1968" s="252" t="s">
        <v>985</v>
      </c>
      <c r="J1968" s="253" t="s">
        <v>1962</v>
      </c>
      <c r="K1968" s="253" t="s">
        <v>988</v>
      </c>
      <c r="L1968" s="254" t="s">
        <v>977</v>
      </c>
      <c r="M1968" s="255">
        <v>6514.69</v>
      </c>
      <c r="N1968" s="256">
        <f t="shared" si="451"/>
        <v>930.67</v>
      </c>
      <c r="O1968" s="255">
        <v>6514.69</v>
      </c>
      <c r="P1968" s="72">
        <v>11440</v>
      </c>
      <c r="Q1968" s="256">
        <f t="shared" si="449"/>
        <v>2516.8000000000002</v>
      </c>
      <c r="R1968" s="256">
        <f t="shared" si="450"/>
        <v>13956.8</v>
      </c>
      <c r="S1968" s="290"/>
      <c r="T1968" s="254">
        <v>121</v>
      </c>
      <c r="U1968" s="294"/>
    </row>
    <row r="1969" spans="1:21" ht="30.75" customHeight="1" x14ac:dyDescent="0.35">
      <c r="A1969" s="239" t="s">
        <v>4496</v>
      </c>
      <c r="B1969" s="3">
        <v>1836</v>
      </c>
      <c r="C1969" s="247">
        <v>102012994</v>
      </c>
      <c r="D1969" s="247" t="s">
        <v>4377</v>
      </c>
      <c r="E1969" s="248" t="s">
        <v>4391</v>
      </c>
      <c r="F1969" s="249">
        <v>1</v>
      </c>
      <c r="G1969" s="250" t="s">
        <v>0</v>
      </c>
      <c r="H1969" s="251">
        <v>43070</v>
      </c>
      <c r="I1969" s="252" t="s">
        <v>985</v>
      </c>
      <c r="J1969" s="257" t="s">
        <v>4429</v>
      </c>
      <c r="K1969" s="253" t="s">
        <v>988</v>
      </c>
      <c r="L1969" s="254" t="s">
        <v>977</v>
      </c>
      <c r="M1969" s="255">
        <v>59324.42</v>
      </c>
      <c r="N1969" s="256">
        <f t="shared" si="451"/>
        <v>59324.42</v>
      </c>
      <c r="O1969" s="255">
        <v>59324.42</v>
      </c>
      <c r="P1969" s="72">
        <v>103900</v>
      </c>
      <c r="Q1969" s="256">
        <f t="shared" si="449"/>
        <v>22858</v>
      </c>
      <c r="R1969" s="256">
        <f t="shared" si="450"/>
        <v>126758</v>
      </c>
      <c r="S1969" s="290"/>
      <c r="T1969" s="254">
        <v>121</v>
      </c>
      <c r="U1969" s="294"/>
    </row>
    <row r="1970" spans="1:21" ht="20.5" customHeight="1" x14ac:dyDescent="0.35">
      <c r="A1970" s="239" t="s">
        <v>4497</v>
      </c>
      <c r="B1970" s="3">
        <v>1837</v>
      </c>
      <c r="C1970" s="247">
        <v>102017487</v>
      </c>
      <c r="D1970" s="247" t="s">
        <v>4378</v>
      </c>
      <c r="E1970" s="248" t="s">
        <v>4391</v>
      </c>
      <c r="F1970" s="249">
        <v>2</v>
      </c>
      <c r="G1970" s="250" t="s">
        <v>0</v>
      </c>
      <c r="H1970" s="251">
        <v>43040</v>
      </c>
      <c r="I1970" s="252" t="s">
        <v>985</v>
      </c>
      <c r="J1970" s="253" t="s">
        <v>1962</v>
      </c>
      <c r="K1970" s="253" t="s">
        <v>988</v>
      </c>
      <c r="L1970" s="254" t="s">
        <v>977</v>
      </c>
      <c r="M1970" s="255">
        <v>90.04</v>
      </c>
      <c r="N1970" s="256">
        <f t="shared" si="451"/>
        <v>45.02</v>
      </c>
      <c r="O1970" s="255">
        <v>90.04</v>
      </c>
      <c r="P1970" s="72">
        <v>160</v>
      </c>
      <c r="Q1970" s="256">
        <f t="shared" si="449"/>
        <v>35.200000000000003</v>
      </c>
      <c r="R1970" s="256">
        <f t="shared" si="450"/>
        <v>195.2</v>
      </c>
      <c r="S1970" s="290"/>
      <c r="T1970" s="254">
        <v>121</v>
      </c>
      <c r="U1970" s="294"/>
    </row>
    <row r="1971" spans="1:21" ht="20.5" customHeight="1" x14ac:dyDescent="0.35">
      <c r="A1971" s="239" t="s">
        <v>4498</v>
      </c>
      <c r="B1971" s="3">
        <v>1838</v>
      </c>
      <c r="C1971" s="247">
        <v>102011776</v>
      </c>
      <c r="D1971" s="247" t="s">
        <v>4379</v>
      </c>
      <c r="E1971" s="248" t="s">
        <v>4391</v>
      </c>
      <c r="F1971" s="249">
        <v>1</v>
      </c>
      <c r="G1971" s="250" t="s">
        <v>0</v>
      </c>
      <c r="H1971" s="251">
        <v>43040</v>
      </c>
      <c r="I1971" s="252" t="s">
        <v>985</v>
      </c>
      <c r="J1971" s="253" t="s">
        <v>1962</v>
      </c>
      <c r="K1971" s="253" t="s">
        <v>988</v>
      </c>
      <c r="L1971" s="254" t="s">
        <v>977</v>
      </c>
      <c r="M1971" s="255">
        <v>740.86</v>
      </c>
      <c r="N1971" s="256">
        <f t="shared" si="451"/>
        <v>740.86</v>
      </c>
      <c r="O1971" s="255">
        <v>740.86</v>
      </c>
      <c r="P1971" s="72">
        <v>1300</v>
      </c>
      <c r="Q1971" s="256">
        <f t="shared" si="449"/>
        <v>286</v>
      </c>
      <c r="R1971" s="256">
        <f t="shared" si="450"/>
        <v>1586</v>
      </c>
      <c r="S1971" s="290"/>
      <c r="T1971" s="254">
        <v>121</v>
      </c>
      <c r="U1971" s="294"/>
    </row>
    <row r="1972" spans="1:21" ht="20.5" customHeight="1" x14ac:dyDescent="0.35">
      <c r="A1972" s="239" t="s">
        <v>4499</v>
      </c>
      <c r="B1972" s="3">
        <v>1839</v>
      </c>
      <c r="C1972" s="247">
        <v>102018880</v>
      </c>
      <c r="D1972" s="247" t="s">
        <v>4380</v>
      </c>
      <c r="E1972" s="248" t="s">
        <v>4391</v>
      </c>
      <c r="F1972" s="249">
        <v>360</v>
      </c>
      <c r="G1972" s="250" t="s">
        <v>17</v>
      </c>
      <c r="H1972" s="251">
        <v>43040</v>
      </c>
      <c r="I1972" s="252" t="s">
        <v>985</v>
      </c>
      <c r="J1972" s="253" t="s">
        <v>1962</v>
      </c>
      <c r="K1972" s="253" t="s">
        <v>988</v>
      </c>
      <c r="L1972" s="254" t="s">
        <v>977</v>
      </c>
      <c r="M1972" s="255">
        <v>37821.599999999999</v>
      </c>
      <c r="N1972" s="256">
        <f t="shared" si="451"/>
        <v>105.06</v>
      </c>
      <c r="O1972" s="255">
        <v>37821.599999999999</v>
      </c>
      <c r="P1972" s="72">
        <v>66410</v>
      </c>
      <c r="Q1972" s="256">
        <f t="shared" si="449"/>
        <v>14610.2</v>
      </c>
      <c r="R1972" s="256">
        <f t="shared" si="450"/>
        <v>81020.2</v>
      </c>
      <c r="S1972" s="290"/>
      <c r="T1972" s="254">
        <v>121</v>
      </c>
      <c r="U1972" s="294"/>
    </row>
    <row r="1973" spans="1:21" ht="33.75" customHeight="1" x14ac:dyDescent="0.35">
      <c r="A1973" s="239" t="s">
        <v>4500</v>
      </c>
      <c r="B1973" s="3">
        <v>1840</v>
      </c>
      <c r="C1973" s="247">
        <v>102018879</v>
      </c>
      <c r="D1973" s="247" t="s">
        <v>4381</v>
      </c>
      <c r="E1973" s="248" t="s">
        <v>4391</v>
      </c>
      <c r="F1973" s="249">
        <v>360</v>
      </c>
      <c r="G1973" s="250" t="s">
        <v>17</v>
      </c>
      <c r="H1973" s="251">
        <v>43040</v>
      </c>
      <c r="I1973" s="252" t="s">
        <v>985</v>
      </c>
      <c r="J1973" s="253" t="s">
        <v>2199</v>
      </c>
      <c r="K1973" s="253" t="s">
        <v>988</v>
      </c>
      <c r="L1973" s="254" t="s">
        <v>977</v>
      </c>
      <c r="M1973" s="255">
        <v>154710</v>
      </c>
      <c r="N1973" s="256">
        <f t="shared" si="451"/>
        <v>429.75</v>
      </c>
      <c r="O1973" s="255">
        <v>154710</v>
      </c>
      <c r="P1973" s="72">
        <v>271670</v>
      </c>
      <c r="Q1973" s="256">
        <f t="shared" si="449"/>
        <v>59767.4</v>
      </c>
      <c r="R1973" s="256">
        <f t="shared" si="450"/>
        <v>331437.40000000002</v>
      </c>
      <c r="S1973" s="290"/>
      <c r="T1973" s="254">
        <v>121</v>
      </c>
      <c r="U1973" s="294"/>
    </row>
    <row r="1974" spans="1:21" ht="20.5" customHeight="1" x14ac:dyDescent="0.35">
      <c r="A1974" s="239" t="s">
        <v>4501</v>
      </c>
      <c r="B1974" s="3">
        <v>1841</v>
      </c>
      <c r="C1974" s="247">
        <v>102018854</v>
      </c>
      <c r="D1974" s="247" t="s">
        <v>4382</v>
      </c>
      <c r="E1974" s="248" t="s">
        <v>4391</v>
      </c>
      <c r="F1974" s="249">
        <v>28</v>
      </c>
      <c r="G1974" s="250" t="s">
        <v>17</v>
      </c>
      <c r="H1974" s="251">
        <v>43040</v>
      </c>
      <c r="I1974" s="252" t="s">
        <v>985</v>
      </c>
      <c r="J1974" s="253" t="s">
        <v>1962</v>
      </c>
      <c r="K1974" s="253" t="s">
        <v>988</v>
      </c>
      <c r="L1974" s="254" t="s">
        <v>977</v>
      </c>
      <c r="M1974" s="255">
        <v>1002.68</v>
      </c>
      <c r="N1974" s="256">
        <f t="shared" si="451"/>
        <v>35.81</v>
      </c>
      <c r="O1974" s="255">
        <v>1002.68</v>
      </c>
      <c r="P1974" s="72">
        <v>1760</v>
      </c>
      <c r="Q1974" s="256">
        <f t="shared" si="449"/>
        <v>387.2</v>
      </c>
      <c r="R1974" s="256">
        <f t="shared" si="450"/>
        <v>2147.1999999999998</v>
      </c>
      <c r="S1974" s="290"/>
      <c r="T1974" s="254">
        <v>121</v>
      </c>
      <c r="U1974" s="294"/>
    </row>
    <row r="1975" spans="1:21" ht="20.5" customHeight="1" x14ac:dyDescent="0.35">
      <c r="A1975" s="239" t="s">
        <v>4502</v>
      </c>
      <c r="B1975" s="3">
        <v>1842</v>
      </c>
      <c r="C1975" s="247">
        <v>102018885</v>
      </c>
      <c r="D1975" s="247" t="s">
        <v>4383</v>
      </c>
      <c r="E1975" s="248" t="s">
        <v>4391</v>
      </c>
      <c r="F1975" s="249">
        <v>1</v>
      </c>
      <c r="G1975" s="250" t="s">
        <v>0</v>
      </c>
      <c r="H1975" s="251">
        <v>43040</v>
      </c>
      <c r="I1975" s="252" t="s">
        <v>985</v>
      </c>
      <c r="J1975" s="253" t="s">
        <v>1962</v>
      </c>
      <c r="K1975" s="253" t="s">
        <v>988</v>
      </c>
      <c r="L1975" s="254" t="s">
        <v>977</v>
      </c>
      <c r="M1975" s="255">
        <v>137.1</v>
      </c>
      <c r="N1975" s="256">
        <f t="shared" si="451"/>
        <v>137.1</v>
      </c>
      <c r="O1975" s="255">
        <v>137.1</v>
      </c>
      <c r="P1975" s="72">
        <v>240</v>
      </c>
      <c r="Q1975" s="256">
        <f t="shared" si="449"/>
        <v>52.8</v>
      </c>
      <c r="R1975" s="256">
        <f t="shared" si="450"/>
        <v>292.8</v>
      </c>
      <c r="S1975" s="290"/>
      <c r="T1975" s="254">
        <v>121</v>
      </c>
      <c r="U1975" s="294"/>
    </row>
    <row r="1976" spans="1:21" ht="20.5" customHeight="1" x14ac:dyDescent="0.35">
      <c r="A1976" s="239" t="s">
        <v>4503</v>
      </c>
      <c r="B1976" s="3">
        <v>1843</v>
      </c>
      <c r="C1976" s="247">
        <v>102017506</v>
      </c>
      <c r="D1976" s="247" t="s">
        <v>4384</v>
      </c>
      <c r="E1976" s="248" t="s">
        <v>4391</v>
      </c>
      <c r="F1976" s="249">
        <v>138</v>
      </c>
      <c r="G1976" s="250" t="s">
        <v>0</v>
      </c>
      <c r="H1976" s="251">
        <v>43040</v>
      </c>
      <c r="I1976" s="252" t="s">
        <v>985</v>
      </c>
      <c r="J1976" s="253" t="s">
        <v>1962</v>
      </c>
      <c r="K1976" s="253" t="s">
        <v>988</v>
      </c>
      <c r="L1976" s="254" t="s">
        <v>977</v>
      </c>
      <c r="M1976" s="255">
        <v>1193.7</v>
      </c>
      <c r="N1976" s="256">
        <f t="shared" si="451"/>
        <v>8.65</v>
      </c>
      <c r="O1976" s="255">
        <v>1193.7</v>
      </c>
      <c r="P1976" s="72">
        <v>2100</v>
      </c>
      <c r="Q1976" s="256">
        <f t="shared" si="449"/>
        <v>462</v>
      </c>
      <c r="R1976" s="256">
        <f t="shared" si="450"/>
        <v>2562</v>
      </c>
      <c r="S1976" s="290"/>
      <c r="T1976" s="254">
        <v>121</v>
      </c>
      <c r="U1976" s="294"/>
    </row>
    <row r="1977" spans="1:21" ht="20.5" customHeight="1" x14ac:dyDescent="0.35">
      <c r="A1977" s="239" t="s">
        <v>4504</v>
      </c>
      <c r="B1977" s="3">
        <v>1844</v>
      </c>
      <c r="C1977" s="247">
        <v>102011756</v>
      </c>
      <c r="D1977" s="247" t="s">
        <v>4385</v>
      </c>
      <c r="E1977" s="248" t="s">
        <v>4391</v>
      </c>
      <c r="F1977" s="249">
        <v>1</v>
      </c>
      <c r="G1977" s="250" t="s">
        <v>0</v>
      </c>
      <c r="H1977" s="251">
        <v>43070</v>
      </c>
      <c r="I1977" s="252" t="s">
        <v>985</v>
      </c>
      <c r="J1977" s="253" t="s">
        <v>1962</v>
      </c>
      <c r="K1977" s="253" t="s">
        <v>988</v>
      </c>
      <c r="L1977" s="254" t="s">
        <v>977</v>
      </c>
      <c r="M1977" s="255">
        <v>23339.919999999998</v>
      </c>
      <c r="N1977" s="256">
        <f t="shared" si="451"/>
        <v>23339.919999999998</v>
      </c>
      <c r="O1977" s="255">
        <v>23339.919999999998</v>
      </c>
      <c r="P1977" s="72">
        <v>40880</v>
      </c>
      <c r="Q1977" s="256">
        <f t="shared" si="449"/>
        <v>8993.6</v>
      </c>
      <c r="R1977" s="256">
        <f t="shared" si="450"/>
        <v>49873.599999999999</v>
      </c>
      <c r="S1977" s="290"/>
      <c r="T1977" s="254">
        <v>121</v>
      </c>
      <c r="U1977" s="294"/>
    </row>
    <row r="1978" spans="1:21" ht="20.5" customHeight="1" x14ac:dyDescent="0.35">
      <c r="A1978" s="239" t="s">
        <v>4505</v>
      </c>
      <c r="B1978" s="3">
        <v>1845</v>
      </c>
      <c r="C1978" s="247">
        <v>102022710</v>
      </c>
      <c r="D1978" s="247" t="s">
        <v>4386</v>
      </c>
      <c r="E1978" s="248" t="s">
        <v>4391</v>
      </c>
      <c r="F1978" s="249">
        <v>1</v>
      </c>
      <c r="G1978" s="250" t="s">
        <v>0</v>
      </c>
      <c r="H1978" s="251">
        <v>43070</v>
      </c>
      <c r="I1978" s="252" t="s">
        <v>985</v>
      </c>
      <c r="J1978" s="253" t="s">
        <v>1962</v>
      </c>
      <c r="K1978" s="253" t="s">
        <v>988</v>
      </c>
      <c r="L1978" s="254" t="s">
        <v>977</v>
      </c>
      <c r="M1978" s="255">
        <v>151004.20000000001</v>
      </c>
      <c r="N1978" s="256">
        <f t="shared" si="451"/>
        <v>151004.20000000001</v>
      </c>
      <c r="O1978" s="255">
        <v>151004.20000000001</v>
      </c>
      <c r="P1978" s="72">
        <v>264480</v>
      </c>
      <c r="Q1978" s="256">
        <f t="shared" si="449"/>
        <v>58185.599999999999</v>
      </c>
      <c r="R1978" s="256">
        <f t="shared" si="450"/>
        <v>322665.59999999998</v>
      </c>
      <c r="S1978" s="290"/>
      <c r="T1978" s="254">
        <v>121</v>
      </c>
      <c r="U1978" s="294"/>
    </row>
    <row r="1979" spans="1:21" ht="20.5" customHeight="1" x14ac:dyDescent="0.35">
      <c r="A1979" s="239" t="s">
        <v>4506</v>
      </c>
      <c r="B1979" s="3">
        <v>1846</v>
      </c>
      <c r="C1979" s="247">
        <v>102023031</v>
      </c>
      <c r="D1979" s="247" t="s">
        <v>4387</v>
      </c>
      <c r="E1979" s="248" t="s">
        <v>4391</v>
      </c>
      <c r="F1979" s="249">
        <v>1</v>
      </c>
      <c r="G1979" s="250" t="s">
        <v>0</v>
      </c>
      <c r="H1979" s="251">
        <v>43070</v>
      </c>
      <c r="I1979" s="252" t="s">
        <v>985</v>
      </c>
      <c r="J1979" s="253" t="s">
        <v>1962</v>
      </c>
      <c r="K1979" s="253" t="s">
        <v>988</v>
      </c>
      <c r="L1979" s="254" t="s">
        <v>977</v>
      </c>
      <c r="M1979" s="255">
        <v>59311.18</v>
      </c>
      <c r="N1979" s="256">
        <f t="shared" si="451"/>
        <v>59311.18</v>
      </c>
      <c r="O1979" s="255">
        <v>59311.18</v>
      </c>
      <c r="P1979" s="72">
        <v>103880</v>
      </c>
      <c r="Q1979" s="256">
        <f t="shared" si="449"/>
        <v>22853.599999999999</v>
      </c>
      <c r="R1979" s="256">
        <f t="shared" si="450"/>
        <v>126733.6</v>
      </c>
      <c r="S1979" s="290"/>
      <c r="T1979" s="254">
        <v>121</v>
      </c>
      <c r="U1979" s="294"/>
    </row>
    <row r="1980" spans="1:21" ht="20.5" customHeight="1" x14ac:dyDescent="0.35">
      <c r="A1980" s="239" t="s">
        <v>4507</v>
      </c>
      <c r="B1980" s="3">
        <v>1847</v>
      </c>
      <c r="C1980" s="247">
        <v>102022990</v>
      </c>
      <c r="D1980" s="247" t="s">
        <v>4388</v>
      </c>
      <c r="E1980" s="248" t="s">
        <v>4391</v>
      </c>
      <c r="F1980" s="249">
        <v>1</v>
      </c>
      <c r="G1980" s="250" t="s">
        <v>0</v>
      </c>
      <c r="H1980" s="251">
        <v>43070</v>
      </c>
      <c r="I1980" s="252" t="s">
        <v>985</v>
      </c>
      <c r="J1980" s="253" t="s">
        <v>1962</v>
      </c>
      <c r="K1980" s="253" t="s">
        <v>988</v>
      </c>
      <c r="L1980" s="254" t="s">
        <v>977</v>
      </c>
      <c r="M1980" s="255">
        <v>52061.33</v>
      </c>
      <c r="N1980" s="256">
        <f t="shared" si="451"/>
        <v>52061.33</v>
      </c>
      <c r="O1980" s="255">
        <v>52061.33</v>
      </c>
      <c r="P1980" s="72">
        <v>91180</v>
      </c>
      <c r="Q1980" s="256">
        <f t="shared" si="449"/>
        <v>20059.599999999999</v>
      </c>
      <c r="R1980" s="256">
        <f t="shared" si="450"/>
        <v>111239.6</v>
      </c>
      <c r="S1980" s="290"/>
      <c r="T1980" s="254">
        <v>121</v>
      </c>
      <c r="U1980" s="294"/>
    </row>
    <row r="1981" spans="1:21" ht="20.5" customHeight="1" x14ac:dyDescent="0.35">
      <c r="A1981" s="239" t="s">
        <v>4508</v>
      </c>
      <c r="B1981" s="3">
        <v>1848</v>
      </c>
      <c r="C1981" s="247">
        <v>102022989</v>
      </c>
      <c r="D1981" s="247" t="s">
        <v>4389</v>
      </c>
      <c r="E1981" s="248" t="s">
        <v>4391</v>
      </c>
      <c r="F1981" s="249">
        <v>1</v>
      </c>
      <c r="G1981" s="250" t="s">
        <v>0</v>
      </c>
      <c r="H1981" s="251">
        <v>43070</v>
      </c>
      <c r="I1981" s="252" t="s">
        <v>985</v>
      </c>
      <c r="J1981" s="253" t="s">
        <v>1962</v>
      </c>
      <c r="K1981" s="253" t="s">
        <v>988</v>
      </c>
      <c r="L1981" s="254" t="s">
        <v>977</v>
      </c>
      <c r="M1981" s="255">
        <v>68341.31</v>
      </c>
      <c r="N1981" s="256">
        <f t="shared" si="451"/>
        <v>68341.31</v>
      </c>
      <c r="O1981" s="255">
        <v>68341.31</v>
      </c>
      <c r="P1981" s="72">
        <v>119700</v>
      </c>
      <c r="Q1981" s="256">
        <f t="shared" si="449"/>
        <v>26334</v>
      </c>
      <c r="R1981" s="256">
        <f t="shared" si="450"/>
        <v>146034</v>
      </c>
      <c r="S1981" s="290"/>
      <c r="T1981" s="254">
        <v>121</v>
      </c>
      <c r="U1981" s="294"/>
    </row>
    <row r="1982" spans="1:21" ht="20.5" customHeight="1" x14ac:dyDescent="0.35">
      <c r="A1982" s="239" t="s">
        <v>4509</v>
      </c>
      <c r="B1982" s="3">
        <v>1849</v>
      </c>
      <c r="C1982" s="247">
        <v>102018850</v>
      </c>
      <c r="D1982" s="247" t="s">
        <v>4390</v>
      </c>
      <c r="E1982" s="248" t="s">
        <v>4391</v>
      </c>
      <c r="F1982" s="249">
        <v>1</v>
      </c>
      <c r="G1982" s="250" t="s">
        <v>17</v>
      </c>
      <c r="H1982" s="251">
        <v>43040</v>
      </c>
      <c r="I1982" s="252" t="s">
        <v>985</v>
      </c>
      <c r="J1982" s="253" t="s">
        <v>1962</v>
      </c>
      <c r="K1982" s="253" t="s">
        <v>988</v>
      </c>
      <c r="L1982" s="254" t="s">
        <v>977</v>
      </c>
      <c r="M1982" s="255">
        <v>251.89</v>
      </c>
      <c r="N1982" s="256">
        <f t="shared" si="451"/>
        <v>251.89</v>
      </c>
      <c r="O1982" s="255">
        <v>251.89</v>
      </c>
      <c r="P1982" s="72">
        <v>440</v>
      </c>
      <c r="Q1982" s="256">
        <f t="shared" si="449"/>
        <v>96.8</v>
      </c>
      <c r="R1982" s="256">
        <f t="shared" si="450"/>
        <v>536.79999999999995</v>
      </c>
      <c r="S1982" s="291"/>
      <c r="T1982" s="254">
        <v>121</v>
      </c>
      <c r="U1982" s="294"/>
    </row>
    <row r="1983" spans="1:21" ht="20.5" customHeight="1" x14ac:dyDescent="0.35">
      <c r="A1983" s="218"/>
      <c r="B1983" s="94"/>
      <c r="C1983" s="258"/>
      <c r="D1983" s="248"/>
      <c r="E1983" s="248"/>
      <c r="F1983" s="259"/>
      <c r="G1983" s="260"/>
      <c r="H1983" s="261"/>
      <c r="I1983" s="254"/>
      <c r="J1983" s="253"/>
      <c r="K1983" s="254"/>
      <c r="L1983" s="254"/>
      <c r="M1983" s="262"/>
      <c r="N1983" s="256"/>
      <c r="O1983" s="245">
        <f>SUM(O1952:O1982)</f>
        <v>969689.44</v>
      </c>
      <c r="P1983" s="276">
        <f t="shared" ref="P1983:Q1983" si="452">SUM(P1952:P1982)</f>
        <v>1712370</v>
      </c>
      <c r="Q1983" s="282">
        <f t="shared" si="452"/>
        <v>376721.4</v>
      </c>
      <c r="R1983" s="282">
        <f>SUM(R1952:R1982)</f>
        <v>2089091.4</v>
      </c>
      <c r="S1983" s="286">
        <f>R1983/100*10</f>
        <v>208909.14</v>
      </c>
      <c r="T1983" s="273">
        <v>121</v>
      </c>
      <c r="U1983" s="295"/>
    </row>
    <row r="1984" spans="1:21" ht="20.5" customHeight="1" x14ac:dyDescent="0.35">
      <c r="A1984" s="239" t="s">
        <v>4510</v>
      </c>
      <c r="B1984" s="3">
        <v>1850</v>
      </c>
      <c r="C1984" s="258">
        <v>102013012</v>
      </c>
      <c r="D1984" s="263" t="s">
        <v>4185</v>
      </c>
      <c r="E1984" s="264" t="s">
        <v>4427</v>
      </c>
      <c r="F1984" s="259">
        <v>1</v>
      </c>
      <c r="G1984" s="254" t="s">
        <v>0</v>
      </c>
      <c r="H1984" s="265">
        <v>43097</v>
      </c>
      <c r="I1984" s="251" t="s">
        <v>1002</v>
      </c>
      <c r="J1984" s="253" t="s">
        <v>1962</v>
      </c>
      <c r="K1984" s="253" t="s">
        <v>988</v>
      </c>
      <c r="L1984" s="254" t="s">
        <v>977</v>
      </c>
      <c r="M1984" s="266">
        <v>87461.25</v>
      </c>
      <c r="N1984" s="256">
        <f>O1984/F1984</f>
        <v>87461.25</v>
      </c>
      <c r="O1984" s="267">
        <v>87461.25</v>
      </c>
      <c r="P1984" s="72">
        <v>153190</v>
      </c>
      <c r="Q1984" s="256">
        <f t="shared" ref="Q1984:Q2009" si="453">R1984-P1984</f>
        <v>33701.800000000003</v>
      </c>
      <c r="R1984" s="256">
        <f t="shared" ref="R1984:R2009" si="454">P1984*1.22</f>
        <v>186891.8</v>
      </c>
      <c r="S1984" s="289"/>
      <c r="T1984" s="254">
        <v>122</v>
      </c>
      <c r="U1984" s="292" t="s">
        <v>4575</v>
      </c>
    </row>
    <row r="1985" spans="1:21" ht="20.5" customHeight="1" x14ac:dyDescent="0.35">
      <c r="A1985" s="239" t="s">
        <v>4511</v>
      </c>
      <c r="B1985" s="3">
        <v>1851</v>
      </c>
      <c r="C1985" s="258">
        <v>102011787</v>
      </c>
      <c r="D1985" s="263" t="s">
        <v>4399</v>
      </c>
      <c r="E1985" s="264" t="s">
        <v>4427</v>
      </c>
      <c r="F1985" s="259">
        <v>3</v>
      </c>
      <c r="G1985" s="254" t="s">
        <v>0</v>
      </c>
      <c r="H1985" s="265">
        <v>43097</v>
      </c>
      <c r="I1985" s="251" t="s">
        <v>1002</v>
      </c>
      <c r="J1985" s="253" t="s">
        <v>1962</v>
      </c>
      <c r="K1985" s="253" t="s">
        <v>988</v>
      </c>
      <c r="L1985" s="254" t="s">
        <v>977</v>
      </c>
      <c r="M1985" s="266">
        <v>3752.49</v>
      </c>
      <c r="N1985" s="256">
        <f t="shared" ref="N1985:N2051" si="455">O1985/F1985</f>
        <v>1250.83</v>
      </c>
      <c r="O1985" s="267">
        <v>3752.49</v>
      </c>
      <c r="P1985" s="72">
        <v>6570</v>
      </c>
      <c r="Q1985" s="256">
        <f t="shared" si="453"/>
        <v>1445.4</v>
      </c>
      <c r="R1985" s="256">
        <f t="shared" si="454"/>
        <v>8015.4</v>
      </c>
      <c r="S1985" s="290"/>
      <c r="T1985" s="254">
        <v>122</v>
      </c>
      <c r="U1985" s="294"/>
    </row>
    <row r="1986" spans="1:21" ht="20.5" customHeight="1" x14ac:dyDescent="0.35">
      <c r="A1986" s="239" t="s">
        <v>4512</v>
      </c>
      <c r="B1986" s="3">
        <v>1852</v>
      </c>
      <c r="C1986" s="258">
        <v>102018817</v>
      </c>
      <c r="D1986" s="263" t="s">
        <v>4400</v>
      </c>
      <c r="E1986" s="264" t="s">
        <v>4427</v>
      </c>
      <c r="F1986" s="259">
        <v>168</v>
      </c>
      <c r="G1986" s="254" t="s">
        <v>0</v>
      </c>
      <c r="H1986" s="265">
        <v>43097</v>
      </c>
      <c r="I1986" s="251" t="s">
        <v>1002</v>
      </c>
      <c r="J1986" s="253" t="s">
        <v>1962</v>
      </c>
      <c r="K1986" s="253" t="s">
        <v>988</v>
      </c>
      <c r="L1986" s="254" t="s">
        <v>977</v>
      </c>
      <c r="M1986" s="266">
        <v>35196</v>
      </c>
      <c r="N1986" s="256">
        <f t="shared" si="455"/>
        <v>209.5</v>
      </c>
      <c r="O1986" s="267">
        <v>35196</v>
      </c>
      <c r="P1986" s="72">
        <v>61640</v>
      </c>
      <c r="Q1986" s="256">
        <f t="shared" si="453"/>
        <v>13560.8</v>
      </c>
      <c r="R1986" s="256">
        <f t="shared" si="454"/>
        <v>75200.800000000003</v>
      </c>
      <c r="S1986" s="290"/>
      <c r="T1986" s="254">
        <v>122</v>
      </c>
      <c r="U1986" s="294"/>
    </row>
    <row r="1987" spans="1:21" ht="20.5" customHeight="1" x14ac:dyDescent="0.35">
      <c r="A1987" s="239" t="s">
        <v>4513</v>
      </c>
      <c r="B1987" s="3">
        <v>1853</v>
      </c>
      <c r="C1987" s="258">
        <v>102018784</v>
      </c>
      <c r="D1987" s="263" t="s">
        <v>4401</v>
      </c>
      <c r="E1987" s="264" t="s">
        <v>4427</v>
      </c>
      <c r="F1987" s="259">
        <v>1</v>
      </c>
      <c r="G1987" s="254" t="s">
        <v>0</v>
      </c>
      <c r="H1987" s="265">
        <v>43097</v>
      </c>
      <c r="I1987" s="251" t="s">
        <v>1002</v>
      </c>
      <c r="J1987" s="253" t="s">
        <v>1962</v>
      </c>
      <c r="K1987" s="253" t="s">
        <v>988</v>
      </c>
      <c r="L1987" s="254" t="s">
        <v>977</v>
      </c>
      <c r="M1987" s="266">
        <v>4730.8500000000004</v>
      </c>
      <c r="N1987" s="256">
        <f t="shared" si="455"/>
        <v>4730.8500000000004</v>
      </c>
      <c r="O1987" s="267">
        <v>4730.8500000000004</v>
      </c>
      <c r="P1987" s="72">
        <v>8290</v>
      </c>
      <c r="Q1987" s="256">
        <f t="shared" si="453"/>
        <v>1823.8</v>
      </c>
      <c r="R1987" s="256">
        <f t="shared" si="454"/>
        <v>10113.799999999999</v>
      </c>
      <c r="S1987" s="290"/>
      <c r="T1987" s="254">
        <v>122</v>
      </c>
      <c r="U1987" s="294"/>
    </row>
    <row r="1988" spans="1:21" ht="20.5" customHeight="1" x14ac:dyDescent="0.35">
      <c r="A1988" s="239" t="s">
        <v>4514</v>
      </c>
      <c r="B1988" s="3">
        <v>1854</v>
      </c>
      <c r="C1988" s="258">
        <v>102020001</v>
      </c>
      <c r="D1988" s="263" t="s">
        <v>4338</v>
      </c>
      <c r="E1988" s="264" t="s">
        <v>4427</v>
      </c>
      <c r="F1988" s="259">
        <v>1</v>
      </c>
      <c r="G1988" s="254" t="s">
        <v>0</v>
      </c>
      <c r="H1988" s="265">
        <v>43097</v>
      </c>
      <c r="I1988" s="251" t="s">
        <v>1002</v>
      </c>
      <c r="J1988" s="253" t="s">
        <v>1962</v>
      </c>
      <c r="K1988" s="253" t="s">
        <v>988</v>
      </c>
      <c r="L1988" s="254" t="s">
        <v>977</v>
      </c>
      <c r="M1988" s="266">
        <v>6610.38</v>
      </c>
      <c r="N1988" s="256">
        <f t="shared" si="455"/>
        <v>6610.38</v>
      </c>
      <c r="O1988" s="267">
        <v>6610.38</v>
      </c>
      <c r="P1988" s="72">
        <v>11580</v>
      </c>
      <c r="Q1988" s="256">
        <f t="shared" si="453"/>
        <v>2547.6</v>
      </c>
      <c r="R1988" s="256">
        <f t="shared" si="454"/>
        <v>14127.6</v>
      </c>
      <c r="S1988" s="290"/>
      <c r="T1988" s="254">
        <v>122</v>
      </c>
      <c r="U1988" s="294"/>
    </row>
    <row r="1989" spans="1:21" ht="20.5" customHeight="1" x14ac:dyDescent="0.35">
      <c r="A1989" s="239" t="s">
        <v>4515</v>
      </c>
      <c r="B1989" s="3">
        <v>1855</v>
      </c>
      <c r="C1989" s="258">
        <v>102018883</v>
      </c>
      <c r="D1989" s="263" t="s">
        <v>4339</v>
      </c>
      <c r="E1989" s="264" t="s">
        <v>4427</v>
      </c>
      <c r="F1989" s="259">
        <v>1</v>
      </c>
      <c r="G1989" s="254" t="s">
        <v>0</v>
      </c>
      <c r="H1989" s="265">
        <v>43097</v>
      </c>
      <c r="I1989" s="251" t="s">
        <v>1002</v>
      </c>
      <c r="J1989" s="253" t="s">
        <v>1962</v>
      </c>
      <c r="K1989" s="253" t="s">
        <v>988</v>
      </c>
      <c r="L1989" s="254" t="s">
        <v>977</v>
      </c>
      <c r="M1989" s="266">
        <v>547.89</v>
      </c>
      <c r="N1989" s="256">
        <f t="shared" si="455"/>
        <v>547.89</v>
      </c>
      <c r="O1989" s="267">
        <v>547.89</v>
      </c>
      <c r="P1989" s="72">
        <v>960</v>
      </c>
      <c r="Q1989" s="256">
        <f t="shared" si="453"/>
        <v>211.2</v>
      </c>
      <c r="R1989" s="256">
        <f t="shared" si="454"/>
        <v>1171.2</v>
      </c>
      <c r="S1989" s="290"/>
      <c r="T1989" s="254">
        <v>122</v>
      </c>
      <c r="U1989" s="294"/>
    </row>
    <row r="1990" spans="1:21" ht="20.5" customHeight="1" x14ac:dyDescent="0.35">
      <c r="A1990" s="239" t="s">
        <v>4516</v>
      </c>
      <c r="B1990" s="3">
        <v>1856</v>
      </c>
      <c r="C1990" s="258">
        <v>102018801</v>
      </c>
      <c r="D1990" s="263" t="s">
        <v>4402</v>
      </c>
      <c r="E1990" s="264" t="s">
        <v>4427</v>
      </c>
      <c r="F1990" s="259">
        <v>5</v>
      </c>
      <c r="G1990" s="254" t="s">
        <v>0</v>
      </c>
      <c r="H1990" s="265">
        <v>43097</v>
      </c>
      <c r="I1990" s="251" t="s">
        <v>1002</v>
      </c>
      <c r="J1990" s="253" t="s">
        <v>1962</v>
      </c>
      <c r="K1990" s="253" t="s">
        <v>988</v>
      </c>
      <c r="L1990" s="254" t="s">
        <v>977</v>
      </c>
      <c r="M1990" s="266">
        <v>4302.2</v>
      </c>
      <c r="N1990" s="256">
        <f t="shared" si="455"/>
        <v>860.44</v>
      </c>
      <c r="O1990" s="267">
        <v>4302.2</v>
      </c>
      <c r="P1990" s="72">
        <v>7540</v>
      </c>
      <c r="Q1990" s="256">
        <f t="shared" si="453"/>
        <v>1658.8</v>
      </c>
      <c r="R1990" s="256">
        <f t="shared" si="454"/>
        <v>9198.7999999999993</v>
      </c>
      <c r="S1990" s="290"/>
      <c r="T1990" s="254">
        <v>122</v>
      </c>
      <c r="U1990" s="294"/>
    </row>
    <row r="1991" spans="1:21" ht="20.5" customHeight="1" x14ac:dyDescent="0.35">
      <c r="A1991" s="239" t="s">
        <v>4517</v>
      </c>
      <c r="B1991" s="3">
        <v>1857</v>
      </c>
      <c r="C1991" s="258">
        <v>102018759</v>
      </c>
      <c r="D1991" s="263" t="s">
        <v>4340</v>
      </c>
      <c r="E1991" s="264" t="s">
        <v>4427</v>
      </c>
      <c r="F1991" s="259">
        <v>1</v>
      </c>
      <c r="G1991" s="254" t="s">
        <v>0</v>
      </c>
      <c r="H1991" s="265">
        <v>43097</v>
      </c>
      <c r="I1991" s="251" t="s">
        <v>1002</v>
      </c>
      <c r="J1991" s="253" t="s">
        <v>1962</v>
      </c>
      <c r="K1991" s="253" t="s">
        <v>988</v>
      </c>
      <c r="L1991" s="254" t="s">
        <v>977</v>
      </c>
      <c r="M1991" s="266">
        <v>778.49</v>
      </c>
      <c r="N1991" s="256">
        <f t="shared" si="455"/>
        <v>778.49</v>
      </c>
      <c r="O1991" s="267">
        <v>778.49</v>
      </c>
      <c r="P1991" s="72">
        <v>1360</v>
      </c>
      <c r="Q1991" s="256">
        <f t="shared" si="453"/>
        <v>299.2</v>
      </c>
      <c r="R1991" s="256">
        <f t="shared" si="454"/>
        <v>1659.2</v>
      </c>
      <c r="S1991" s="290"/>
      <c r="T1991" s="254">
        <v>122</v>
      </c>
      <c r="U1991" s="294"/>
    </row>
    <row r="1992" spans="1:21" ht="20.5" customHeight="1" x14ac:dyDescent="0.35">
      <c r="A1992" s="239" t="s">
        <v>4518</v>
      </c>
      <c r="B1992" s="3">
        <v>1858</v>
      </c>
      <c r="C1992" s="258">
        <v>102018873</v>
      </c>
      <c r="D1992" s="263" t="s">
        <v>4403</v>
      </c>
      <c r="E1992" s="264" t="s">
        <v>4427</v>
      </c>
      <c r="F1992" s="259">
        <v>5</v>
      </c>
      <c r="G1992" s="254" t="s">
        <v>0</v>
      </c>
      <c r="H1992" s="265">
        <v>43097</v>
      </c>
      <c r="I1992" s="251" t="s">
        <v>1002</v>
      </c>
      <c r="J1992" s="253" t="s">
        <v>1962</v>
      </c>
      <c r="K1992" s="253" t="s">
        <v>988</v>
      </c>
      <c r="L1992" s="254" t="s">
        <v>977</v>
      </c>
      <c r="M1992" s="266">
        <v>1404.7</v>
      </c>
      <c r="N1992" s="256">
        <f t="shared" si="455"/>
        <v>280.94</v>
      </c>
      <c r="O1992" s="267">
        <v>1404.7</v>
      </c>
      <c r="P1992" s="72">
        <v>2460</v>
      </c>
      <c r="Q1992" s="256">
        <f t="shared" si="453"/>
        <v>541.20000000000005</v>
      </c>
      <c r="R1992" s="256">
        <f t="shared" si="454"/>
        <v>3001.2</v>
      </c>
      <c r="S1992" s="290"/>
      <c r="T1992" s="254">
        <v>122</v>
      </c>
      <c r="U1992" s="294"/>
    </row>
    <row r="1993" spans="1:21" ht="20.5" customHeight="1" x14ac:dyDescent="0.35">
      <c r="A1993" s="239" t="s">
        <v>4519</v>
      </c>
      <c r="B1993" s="3">
        <v>1859</v>
      </c>
      <c r="C1993" s="258">
        <v>102018874</v>
      </c>
      <c r="D1993" s="263" t="s">
        <v>4404</v>
      </c>
      <c r="E1993" s="264" t="s">
        <v>4427</v>
      </c>
      <c r="F1993" s="259">
        <v>4</v>
      </c>
      <c r="G1993" s="254" t="s">
        <v>0</v>
      </c>
      <c r="H1993" s="265">
        <v>43097</v>
      </c>
      <c r="I1993" s="251" t="s">
        <v>1002</v>
      </c>
      <c r="J1993" s="253" t="s">
        <v>1962</v>
      </c>
      <c r="K1993" s="253" t="s">
        <v>988</v>
      </c>
      <c r="L1993" s="254" t="s">
        <v>977</v>
      </c>
      <c r="M1993" s="266">
        <v>2460.84</v>
      </c>
      <c r="N1993" s="256">
        <f t="shared" si="455"/>
        <v>615.21</v>
      </c>
      <c r="O1993" s="267">
        <v>2460.84</v>
      </c>
      <c r="P1993" s="72">
        <v>4310</v>
      </c>
      <c r="Q1993" s="256">
        <f t="shared" si="453"/>
        <v>948.2</v>
      </c>
      <c r="R1993" s="256">
        <f t="shared" si="454"/>
        <v>5258.2</v>
      </c>
      <c r="S1993" s="290"/>
      <c r="T1993" s="254">
        <v>122</v>
      </c>
      <c r="U1993" s="294"/>
    </row>
    <row r="1994" spans="1:21" ht="20.5" customHeight="1" x14ac:dyDescent="0.35">
      <c r="A1994" s="239" t="s">
        <v>4520</v>
      </c>
      <c r="B1994" s="3">
        <v>1860</v>
      </c>
      <c r="C1994" s="258">
        <v>102019396</v>
      </c>
      <c r="D1994" s="263" t="s">
        <v>4344</v>
      </c>
      <c r="E1994" s="264" t="s">
        <v>4427</v>
      </c>
      <c r="F1994" s="259">
        <v>197</v>
      </c>
      <c r="G1994" s="254" t="s">
        <v>0</v>
      </c>
      <c r="H1994" s="265">
        <v>43097</v>
      </c>
      <c r="I1994" s="251" t="s">
        <v>1002</v>
      </c>
      <c r="J1994" s="253" t="s">
        <v>1962</v>
      </c>
      <c r="K1994" s="253" t="s">
        <v>988</v>
      </c>
      <c r="L1994" s="254" t="s">
        <v>977</v>
      </c>
      <c r="M1994" s="266">
        <v>7070.33</v>
      </c>
      <c r="N1994" s="256">
        <f t="shared" si="455"/>
        <v>35.89</v>
      </c>
      <c r="O1994" s="267">
        <v>7070.33</v>
      </c>
      <c r="P1994" s="72">
        <v>12380</v>
      </c>
      <c r="Q1994" s="256">
        <f t="shared" si="453"/>
        <v>2723.6</v>
      </c>
      <c r="R1994" s="256">
        <f t="shared" si="454"/>
        <v>15103.6</v>
      </c>
      <c r="S1994" s="290"/>
      <c r="T1994" s="254">
        <v>122</v>
      </c>
      <c r="U1994" s="294"/>
    </row>
    <row r="1995" spans="1:21" ht="20.5" customHeight="1" x14ac:dyDescent="0.35">
      <c r="A1995" s="239" t="s">
        <v>4521</v>
      </c>
      <c r="B1995" s="3">
        <v>1861</v>
      </c>
      <c r="C1995" s="258">
        <v>102019429</v>
      </c>
      <c r="D1995" s="263" t="s">
        <v>4345</v>
      </c>
      <c r="E1995" s="264" t="s">
        <v>4427</v>
      </c>
      <c r="F1995" s="259">
        <v>985</v>
      </c>
      <c r="G1995" s="254" t="s">
        <v>0</v>
      </c>
      <c r="H1995" s="265">
        <v>43097</v>
      </c>
      <c r="I1995" s="251" t="s">
        <v>1002</v>
      </c>
      <c r="J1995" s="253" t="s">
        <v>1962</v>
      </c>
      <c r="K1995" s="253" t="s">
        <v>988</v>
      </c>
      <c r="L1995" s="254" t="s">
        <v>977</v>
      </c>
      <c r="M1995" s="266">
        <v>48097.55</v>
      </c>
      <c r="N1995" s="256">
        <f t="shared" si="455"/>
        <v>48.83</v>
      </c>
      <c r="O1995" s="267">
        <v>48097.55</v>
      </c>
      <c r="P1995" s="72">
        <v>84240</v>
      </c>
      <c r="Q1995" s="256">
        <f t="shared" si="453"/>
        <v>18532.8</v>
      </c>
      <c r="R1995" s="256">
        <f t="shared" si="454"/>
        <v>102772.8</v>
      </c>
      <c r="S1995" s="290"/>
      <c r="T1995" s="254">
        <v>122</v>
      </c>
      <c r="U1995" s="294"/>
    </row>
    <row r="1996" spans="1:21" ht="20.5" customHeight="1" x14ac:dyDescent="0.35">
      <c r="A1996" s="239" t="s">
        <v>4522</v>
      </c>
      <c r="B1996" s="3">
        <v>1862</v>
      </c>
      <c r="C1996" s="258">
        <v>102019395</v>
      </c>
      <c r="D1996" s="263" t="s">
        <v>4346</v>
      </c>
      <c r="E1996" s="264" t="s">
        <v>4427</v>
      </c>
      <c r="F1996" s="259">
        <v>268</v>
      </c>
      <c r="G1996" s="254" t="s">
        <v>0</v>
      </c>
      <c r="H1996" s="265">
        <v>43097</v>
      </c>
      <c r="I1996" s="251" t="s">
        <v>1002</v>
      </c>
      <c r="J1996" s="253" t="s">
        <v>1962</v>
      </c>
      <c r="K1996" s="253" t="s">
        <v>988</v>
      </c>
      <c r="L1996" s="254" t="s">
        <v>977</v>
      </c>
      <c r="M1996" s="266">
        <v>16147</v>
      </c>
      <c r="N1996" s="256">
        <f t="shared" si="455"/>
        <v>60.25</v>
      </c>
      <c r="O1996" s="267">
        <v>16147</v>
      </c>
      <c r="P1996" s="72">
        <v>28280</v>
      </c>
      <c r="Q1996" s="256">
        <f t="shared" si="453"/>
        <v>6221.6</v>
      </c>
      <c r="R1996" s="256">
        <f t="shared" si="454"/>
        <v>34501.599999999999</v>
      </c>
      <c r="S1996" s="290"/>
      <c r="T1996" s="254">
        <v>122</v>
      </c>
      <c r="U1996" s="294"/>
    </row>
    <row r="1997" spans="1:21" ht="20.5" customHeight="1" x14ac:dyDescent="0.35">
      <c r="A1997" s="239" t="s">
        <v>4523</v>
      </c>
      <c r="B1997" s="3">
        <v>1863</v>
      </c>
      <c r="C1997" s="258">
        <v>102011802</v>
      </c>
      <c r="D1997" s="263" t="s">
        <v>4405</v>
      </c>
      <c r="E1997" s="264" t="s">
        <v>4427</v>
      </c>
      <c r="F1997" s="259">
        <v>1</v>
      </c>
      <c r="G1997" s="254" t="s">
        <v>0</v>
      </c>
      <c r="H1997" s="265">
        <v>43097</v>
      </c>
      <c r="I1997" s="251" t="s">
        <v>1002</v>
      </c>
      <c r="J1997" s="253" t="s">
        <v>1962</v>
      </c>
      <c r="K1997" s="253" t="s">
        <v>988</v>
      </c>
      <c r="L1997" s="254" t="s">
        <v>977</v>
      </c>
      <c r="M1997" s="266">
        <v>42179.89</v>
      </c>
      <c r="N1997" s="256">
        <f t="shared" si="455"/>
        <v>42179.89</v>
      </c>
      <c r="O1997" s="267">
        <v>42179.89</v>
      </c>
      <c r="P1997" s="72">
        <v>73880</v>
      </c>
      <c r="Q1997" s="256">
        <f t="shared" si="453"/>
        <v>16253.6</v>
      </c>
      <c r="R1997" s="256">
        <f t="shared" si="454"/>
        <v>90133.6</v>
      </c>
      <c r="S1997" s="290"/>
      <c r="T1997" s="254">
        <v>122</v>
      </c>
      <c r="U1997" s="294"/>
    </row>
    <row r="1998" spans="1:21" ht="20.5" customHeight="1" x14ac:dyDescent="0.35">
      <c r="A1998" s="239" t="s">
        <v>4524</v>
      </c>
      <c r="B1998" s="3">
        <v>1864</v>
      </c>
      <c r="C1998" s="258">
        <v>102018783</v>
      </c>
      <c r="D1998" s="263" t="s">
        <v>4406</v>
      </c>
      <c r="E1998" s="264" t="s">
        <v>4427</v>
      </c>
      <c r="F1998" s="259">
        <v>18</v>
      </c>
      <c r="G1998" s="254" t="s">
        <v>0</v>
      </c>
      <c r="H1998" s="265">
        <v>43097</v>
      </c>
      <c r="I1998" s="251" t="s">
        <v>1002</v>
      </c>
      <c r="J1998" s="253" t="s">
        <v>1962</v>
      </c>
      <c r="K1998" s="253" t="s">
        <v>988</v>
      </c>
      <c r="L1998" s="254" t="s">
        <v>977</v>
      </c>
      <c r="M1998" s="266">
        <v>680.22</v>
      </c>
      <c r="N1998" s="256">
        <f t="shared" si="455"/>
        <v>37.79</v>
      </c>
      <c r="O1998" s="267">
        <v>680.22</v>
      </c>
      <c r="P1998" s="72">
        <v>1190</v>
      </c>
      <c r="Q1998" s="256">
        <f t="shared" si="453"/>
        <v>261.8</v>
      </c>
      <c r="R1998" s="256">
        <f t="shared" si="454"/>
        <v>1451.8</v>
      </c>
      <c r="S1998" s="290"/>
      <c r="T1998" s="254">
        <v>122</v>
      </c>
      <c r="U1998" s="294"/>
    </row>
    <row r="1999" spans="1:21" ht="20.5" customHeight="1" x14ac:dyDescent="0.35">
      <c r="A1999" s="239" t="s">
        <v>4525</v>
      </c>
      <c r="B1999" s="3">
        <v>1865</v>
      </c>
      <c r="C1999" s="258">
        <v>102018941</v>
      </c>
      <c r="D1999" s="263" t="s">
        <v>4350</v>
      </c>
      <c r="E1999" s="264" t="s">
        <v>4427</v>
      </c>
      <c r="F1999" s="259">
        <v>9</v>
      </c>
      <c r="G1999" s="254" t="s">
        <v>0</v>
      </c>
      <c r="H1999" s="265">
        <v>43097</v>
      </c>
      <c r="I1999" s="251" t="s">
        <v>1002</v>
      </c>
      <c r="J1999" s="253" t="s">
        <v>1962</v>
      </c>
      <c r="K1999" s="253" t="s">
        <v>988</v>
      </c>
      <c r="L1999" s="254" t="s">
        <v>977</v>
      </c>
      <c r="M1999" s="266">
        <v>1066.4100000000001</v>
      </c>
      <c r="N1999" s="256">
        <f t="shared" si="455"/>
        <v>118.49</v>
      </c>
      <c r="O1999" s="267">
        <v>1066.4100000000001</v>
      </c>
      <c r="P1999" s="72">
        <v>1870</v>
      </c>
      <c r="Q1999" s="256">
        <f t="shared" si="453"/>
        <v>411.4</v>
      </c>
      <c r="R1999" s="256">
        <f t="shared" si="454"/>
        <v>2281.4</v>
      </c>
      <c r="S1999" s="290"/>
      <c r="T1999" s="254">
        <v>122</v>
      </c>
      <c r="U1999" s="294"/>
    </row>
    <row r="2000" spans="1:21" ht="20.5" customHeight="1" x14ac:dyDescent="0.35">
      <c r="A2000" s="239" t="s">
        <v>4526</v>
      </c>
      <c r="B2000" s="3">
        <v>1866</v>
      </c>
      <c r="C2000" s="258">
        <v>102011786</v>
      </c>
      <c r="D2000" s="263" t="s">
        <v>4407</v>
      </c>
      <c r="E2000" s="264" t="s">
        <v>4427</v>
      </c>
      <c r="F2000" s="259">
        <v>1</v>
      </c>
      <c r="G2000" s="254" t="s">
        <v>0</v>
      </c>
      <c r="H2000" s="265">
        <v>43097</v>
      </c>
      <c r="I2000" s="251" t="s">
        <v>1002</v>
      </c>
      <c r="J2000" s="253" t="s">
        <v>1962</v>
      </c>
      <c r="K2000" s="253" t="s">
        <v>988</v>
      </c>
      <c r="L2000" s="254" t="s">
        <v>977</v>
      </c>
      <c r="M2000" s="266">
        <v>69348.7</v>
      </c>
      <c r="N2000" s="256">
        <f t="shared" si="455"/>
        <v>69348.7</v>
      </c>
      <c r="O2000" s="267">
        <v>69348.7</v>
      </c>
      <c r="P2000" s="72">
        <v>121460</v>
      </c>
      <c r="Q2000" s="256">
        <f t="shared" si="453"/>
        <v>26721.200000000001</v>
      </c>
      <c r="R2000" s="256">
        <f t="shared" si="454"/>
        <v>148181.20000000001</v>
      </c>
      <c r="S2000" s="290"/>
      <c r="T2000" s="254">
        <v>122</v>
      </c>
      <c r="U2000" s="294"/>
    </row>
    <row r="2001" spans="1:21" ht="20.5" customHeight="1" x14ac:dyDescent="0.35">
      <c r="A2001" s="239" t="s">
        <v>4527</v>
      </c>
      <c r="B2001" s="3">
        <v>1867</v>
      </c>
      <c r="C2001" s="258">
        <v>102011832</v>
      </c>
      <c r="D2001" s="263" t="s">
        <v>4360</v>
      </c>
      <c r="E2001" s="264" t="s">
        <v>4427</v>
      </c>
      <c r="F2001" s="259">
        <v>2</v>
      </c>
      <c r="G2001" s="254" t="s">
        <v>0</v>
      </c>
      <c r="H2001" s="265">
        <v>43097</v>
      </c>
      <c r="I2001" s="251" t="s">
        <v>1002</v>
      </c>
      <c r="J2001" s="253" t="s">
        <v>1962</v>
      </c>
      <c r="K2001" s="253" t="s">
        <v>988</v>
      </c>
      <c r="L2001" s="254" t="s">
        <v>977</v>
      </c>
      <c r="M2001" s="266">
        <v>206433.36</v>
      </c>
      <c r="N2001" s="256">
        <f t="shared" si="455"/>
        <v>103216.68</v>
      </c>
      <c r="O2001" s="267">
        <v>206433.36</v>
      </c>
      <c r="P2001" s="72">
        <v>361560</v>
      </c>
      <c r="Q2001" s="256">
        <f t="shared" si="453"/>
        <v>79543.199999999997</v>
      </c>
      <c r="R2001" s="256">
        <f t="shared" si="454"/>
        <v>441103.2</v>
      </c>
      <c r="S2001" s="290"/>
      <c r="T2001" s="254">
        <v>122</v>
      </c>
      <c r="U2001" s="294"/>
    </row>
    <row r="2002" spans="1:21" ht="20.5" customHeight="1" x14ac:dyDescent="0.35">
      <c r="A2002" s="239" t="s">
        <v>4528</v>
      </c>
      <c r="B2002" s="3">
        <v>1868</v>
      </c>
      <c r="C2002" s="258">
        <v>102011727</v>
      </c>
      <c r="D2002" s="263" t="s">
        <v>4408</v>
      </c>
      <c r="E2002" s="264" t="s">
        <v>4427</v>
      </c>
      <c r="F2002" s="259">
        <v>3</v>
      </c>
      <c r="G2002" s="254" t="s">
        <v>0</v>
      </c>
      <c r="H2002" s="265">
        <v>43097</v>
      </c>
      <c r="I2002" s="251" t="s">
        <v>1002</v>
      </c>
      <c r="J2002" s="253" t="s">
        <v>1962</v>
      </c>
      <c r="K2002" s="253" t="s">
        <v>988</v>
      </c>
      <c r="L2002" s="254" t="s">
        <v>977</v>
      </c>
      <c r="M2002" s="266">
        <v>49495.32</v>
      </c>
      <c r="N2002" s="256">
        <f t="shared" si="455"/>
        <v>16498.439999999999</v>
      </c>
      <c r="O2002" s="267">
        <v>49495.32</v>
      </c>
      <c r="P2002" s="72">
        <v>86690</v>
      </c>
      <c r="Q2002" s="256">
        <f t="shared" si="453"/>
        <v>19071.8</v>
      </c>
      <c r="R2002" s="256">
        <f t="shared" si="454"/>
        <v>105761.8</v>
      </c>
      <c r="S2002" s="290"/>
      <c r="T2002" s="254">
        <v>122</v>
      </c>
      <c r="U2002" s="294"/>
    </row>
    <row r="2003" spans="1:21" ht="20.5" customHeight="1" x14ac:dyDescent="0.35">
      <c r="A2003" s="239" t="s">
        <v>4529</v>
      </c>
      <c r="B2003" s="3">
        <v>1869</v>
      </c>
      <c r="C2003" s="258">
        <v>102017338</v>
      </c>
      <c r="D2003" s="263" t="s">
        <v>4409</v>
      </c>
      <c r="E2003" s="264" t="s">
        <v>4427</v>
      </c>
      <c r="F2003" s="259">
        <v>60</v>
      </c>
      <c r="G2003" s="254" t="s">
        <v>0</v>
      </c>
      <c r="H2003" s="265">
        <v>43097</v>
      </c>
      <c r="I2003" s="251" t="s">
        <v>1002</v>
      </c>
      <c r="J2003" s="253" t="s">
        <v>1962</v>
      </c>
      <c r="K2003" s="253" t="s">
        <v>988</v>
      </c>
      <c r="L2003" s="254" t="s">
        <v>977</v>
      </c>
      <c r="M2003" s="266">
        <v>3796.2</v>
      </c>
      <c r="N2003" s="256">
        <f t="shared" si="455"/>
        <v>63.27</v>
      </c>
      <c r="O2003" s="267">
        <v>3796.2</v>
      </c>
      <c r="P2003" s="72">
        <v>6650</v>
      </c>
      <c r="Q2003" s="256">
        <f t="shared" si="453"/>
        <v>1463</v>
      </c>
      <c r="R2003" s="256">
        <f t="shared" si="454"/>
        <v>8113</v>
      </c>
      <c r="S2003" s="290"/>
      <c r="T2003" s="254">
        <v>122</v>
      </c>
      <c r="U2003" s="294"/>
    </row>
    <row r="2004" spans="1:21" ht="20.5" customHeight="1" x14ac:dyDescent="0.35">
      <c r="A2004" s="239" t="s">
        <v>4530</v>
      </c>
      <c r="B2004" s="3">
        <v>1870</v>
      </c>
      <c r="C2004" s="258">
        <v>102022213</v>
      </c>
      <c r="D2004" s="263" t="s">
        <v>4410</v>
      </c>
      <c r="E2004" s="264" t="s">
        <v>4427</v>
      </c>
      <c r="F2004" s="259">
        <v>2</v>
      </c>
      <c r="G2004" s="254" t="s">
        <v>0</v>
      </c>
      <c r="H2004" s="265">
        <v>43097</v>
      </c>
      <c r="I2004" s="251" t="s">
        <v>1002</v>
      </c>
      <c r="J2004" s="253" t="s">
        <v>1962</v>
      </c>
      <c r="K2004" s="253" t="s">
        <v>988</v>
      </c>
      <c r="L2004" s="254" t="s">
        <v>977</v>
      </c>
      <c r="M2004" s="266">
        <v>462</v>
      </c>
      <c r="N2004" s="256">
        <f t="shared" si="455"/>
        <v>231</v>
      </c>
      <c r="O2004" s="267">
        <v>462</v>
      </c>
      <c r="P2004" s="72">
        <v>810</v>
      </c>
      <c r="Q2004" s="256">
        <f t="shared" si="453"/>
        <v>178.2</v>
      </c>
      <c r="R2004" s="256">
        <f t="shared" si="454"/>
        <v>988.2</v>
      </c>
      <c r="S2004" s="290"/>
      <c r="T2004" s="254">
        <v>122</v>
      </c>
      <c r="U2004" s="294"/>
    </row>
    <row r="2005" spans="1:21" ht="20.5" customHeight="1" x14ac:dyDescent="0.35">
      <c r="A2005" s="239" t="s">
        <v>4531</v>
      </c>
      <c r="B2005" s="3">
        <v>1871</v>
      </c>
      <c r="C2005" s="258">
        <v>102018927</v>
      </c>
      <c r="D2005" s="263" t="s">
        <v>4364</v>
      </c>
      <c r="E2005" s="264" t="s">
        <v>4427</v>
      </c>
      <c r="F2005" s="259">
        <v>1</v>
      </c>
      <c r="G2005" s="254" t="s">
        <v>0</v>
      </c>
      <c r="H2005" s="265">
        <v>43097</v>
      </c>
      <c r="I2005" s="251" t="s">
        <v>1002</v>
      </c>
      <c r="J2005" s="253" t="s">
        <v>1962</v>
      </c>
      <c r="K2005" s="253" t="s">
        <v>988</v>
      </c>
      <c r="L2005" s="254" t="s">
        <v>977</v>
      </c>
      <c r="M2005" s="266">
        <v>1275.8599999999999</v>
      </c>
      <c r="N2005" s="256">
        <f t="shared" si="455"/>
        <v>1275.8599999999999</v>
      </c>
      <c r="O2005" s="267">
        <v>1275.8599999999999</v>
      </c>
      <c r="P2005" s="72">
        <v>2230</v>
      </c>
      <c r="Q2005" s="256">
        <f t="shared" si="453"/>
        <v>490.6</v>
      </c>
      <c r="R2005" s="256">
        <f t="shared" si="454"/>
        <v>2720.6</v>
      </c>
      <c r="S2005" s="290"/>
      <c r="T2005" s="254">
        <v>122</v>
      </c>
      <c r="U2005" s="294"/>
    </row>
    <row r="2006" spans="1:21" ht="20.5" customHeight="1" x14ac:dyDescent="0.35">
      <c r="A2006" s="239" t="s">
        <v>4532</v>
      </c>
      <c r="B2006" s="3">
        <v>1872</v>
      </c>
      <c r="C2006" s="258">
        <v>102011762</v>
      </c>
      <c r="D2006" s="263" t="s">
        <v>4366</v>
      </c>
      <c r="E2006" s="264" t="s">
        <v>4427</v>
      </c>
      <c r="F2006" s="259">
        <v>3</v>
      </c>
      <c r="G2006" s="254" t="s">
        <v>0</v>
      </c>
      <c r="H2006" s="265">
        <v>43097</v>
      </c>
      <c r="I2006" s="251" t="s">
        <v>1002</v>
      </c>
      <c r="J2006" s="253" t="s">
        <v>1962</v>
      </c>
      <c r="K2006" s="253" t="s">
        <v>988</v>
      </c>
      <c r="L2006" s="254" t="s">
        <v>977</v>
      </c>
      <c r="M2006" s="266">
        <v>2211.66</v>
      </c>
      <c r="N2006" s="256">
        <f t="shared" si="455"/>
        <v>737.22</v>
      </c>
      <c r="O2006" s="267">
        <v>2211.66</v>
      </c>
      <c r="P2006" s="72">
        <v>3870</v>
      </c>
      <c r="Q2006" s="256">
        <f t="shared" si="453"/>
        <v>851.4</v>
      </c>
      <c r="R2006" s="256">
        <f t="shared" si="454"/>
        <v>4721.3999999999996</v>
      </c>
      <c r="S2006" s="290"/>
      <c r="T2006" s="254">
        <v>122</v>
      </c>
      <c r="U2006" s="294"/>
    </row>
    <row r="2007" spans="1:21" ht="20.5" customHeight="1" x14ac:dyDescent="0.35">
      <c r="A2007" s="239" t="s">
        <v>4533</v>
      </c>
      <c r="B2007" s="3">
        <v>1873</v>
      </c>
      <c r="C2007" s="258">
        <v>102018895</v>
      </c>
      <c r="D2007" s="263" t="s">
        <v>4367</v>
      </c>
      <c r="E2007" s="264" t="s">
        <v>4427</v>
      </c>
      <c r="F2007" s="259">
        <v>67</v>
      </c>
      <c r="G2007" s="254" t="s">
        <v>0</v>
      </c>
      <c r="H2007" s="265">
        <v>43097</v>
      </c>
      <c r="I2007" s="251" t="s">
        <v>1002</v>
      </c>
      <c r="J2007" s="253" t="s">
        <v>1962</v>
      </c>
      <c r="K2007" s="253" t="s">
        <v>988</v>
      </c>
      <c r="L2007" s="254" t="s">
        <v>977</v>
      </c>
      <c r="M2007" s="266">
        <v>19164.009999999998</v>
      </c>
      <c r="N2007" s="256">
        <f t="shared" si="455"/>
        <v>286.02999999999997</v>
      </c>
      <c r="O2007" s="267">
        <v>19164.009999999998</v>
      </c>
      <c r="P2007" s="72">
        <v>33570</v>
      </c>
      <c r="Q2007" s="256">
        <f t="shared" si="453"/>
        <v>7385.4</v>
      </c>
      <c r="R2007" s="256">
        <f t="shared" si="454"/>
        <v>40955.4</v>
      </c>
      <c r="S2007" s="290"/>
      <c r="T2007" s="254">
        <v>122</v>
      </c>
      <c r="U2007" s="294"/>
    </row>
    <row r="2008" spans="1:21" ht="20.5" customHeight="1" x14ac:dyDescent="0.35">
      <c r="A2008" s="239" t="s">
        <v>4534</v>
      </c>
      <c r="B2008" s="3">
        <v>1874</v>
      </c>
      <c r="C2008" s="258">
        <v>102018894</v>
      </c>
      <c r="D2008" s="263" t="s">
        <v>4368</v>
      </c>
      <c r="E2008" s="264" t="s">
        <v>4427</v>
      </c>
      <c r="F2008" s="259">
        <v>164</v>
      </c>
      <c r="G2008" s="254" t="s">
        <v>0</v>
      </c>
      <c r="H2008" s="265">
        <v>43097</v>
      </c>
      <c r="I2008" s="251" t="s">
        <v>1002</v>
      </c>
      <c r="J2008" s="253" t="s">
        <v>1962</v>
      </c>
      <c r="K2008" s="253" t="s">
        <v>988</v>
      </c>
      <c r="L2008" s="254" t="s">
        <v>977</v>
      </c>
      <c r="M2008" s="266">
        <v>44291.48</v>
      </c>
      <c r="N2008" s="256">
        <f t="shared" si="455"/>
        <v>270.07</v>
      </c>
      <c r="O2008" s="267">
        <v>44291.48</v>
      </c>
      <c r="P2008" s="72">
        <v>77580</v>
      </c>
      <c r="Q2008" s="256">
        <f t="shared" si="453"/>
        <v>17067.599999999999</v>
      </c>
      <c r="R2008" s="256">
        <f t="shared" si="454"/>
        <v>94647.6</v>
      </c>
      <c r="S2008" s="290"/>
      <c r="T2008" s="254">
        <v>122</v>
      </c>
      <c r="U2008" s="294"/>
    </row>
    <row r="2009" spans="1:21" ht="20.5" customHeight="1" x14ac:dyDescent="0.35">
      <c r="A2009" s="239" t="s">
        <v>4535</v>
      </c>
      <c r="B2009" s="3">
        <v>1875</v>
      </c>
      <c r="C2009" s="258">
        <v>102018846</v>
      </c>
      <c r="D2009" s="263" t="s">
        <v>4411</v>
      </c>
      <c r="E2009" s="264" t="s">
        <v>4427</v>
      </c>
      <c r="F2009" s="259">
        <v>15</v>
      </c>
      <c r="G2009" s="254" t="s">
        <v>17</v>
      </c>
      <c r="H2009" s="265">
        <v>43097</v>
      </c>
      <c r="I2009" s="251" t="s">
        <v>1002</v>
      </c>
      <c r="J2009" s="253" t="s">
        <v>1962</v>
      </c>
      <c r="K2009" s="253" t="s">
        <v>988</v>
      </c>
      <c r="L2009" s="254" t="s">
        <v>977</v>
      </c>
      <c r="M2009" s="266">
        <v>292536.45</v>
      </c>
      <c r="N2009" s="256">
        <f t="shared" si="455"/>
        <v>19502.43</v>
      </c>
      <c r="O2009" s="267">
        <v>292536.45</v>
      </c>
      <c r="P2009" s="72">
        <v>512370</v>
      </c>
      <c r="Q2009" s="256">
        <f t="shared" si="453"/>
        <v>112721.4</v>
      </c>
      <c r="R2009" s="256">
        <f t="shared" si="454"/>
        <v>625091.4</v>
      </c>
      <c r="S2009" s="291"/>
      <c r="T2009" s="254">
        <v>122</v>
      </c>
      <c r="U2009" s="294"/>
    </row>
    <row r="2010" spans="1:21" ht="20.5" customHeight="1" x14ac:dyDescent="0.35">
      <c r="A2010" s="218"/>
      <c r="B2010" s="94"/>
      <c r="C2010" s="258"/>
      <c r="D2010" s="263"/>
      <c r="E2010" s="264"/>
      <c r="F2010" s="259"/>
      <c r="G2010" s="254"/>
      <c r="H2010" s="265"/>
      <c r="I2010" s="251"/>
      <c r="J2010" s="253"/>
      <c r="K2010" s="253"/>
      <c r="L2010" s="254"/>
      <c r="M2010" s="266"/>
      <c r="N2010" s="256"/>
      <c r="O2010" s="268">
        <f>SUM(O1984:O2009)</f>
        <v>951501.53</v>
      </c>
      <c r="P2010" s="276">
        <f t="shared" ref="P2010:Q2010" si="456">SUM(P1984:P2009)</f>
        <v>1666530</v>
      </c>
      <c r="Q2010" s="282">
        <f t="shared" si="456"/>
        <v>366636.6</v>
      </c>
      <c r="R2010" s="282">
        <f>SUM(R1984:R2009)</f>
        <v>2033166.6</v>
      </c>
      <c r="S2010" s="286">
        <f>R2010/100*10</f>
        <v>203316.66</v>
      </c>
      <c r="T2010" s="273">
        <v>122</v>
      </c>
      <c r="U2010" s="295"/>
    </row>
    <row r="2011" spans="1:21" ht="20.5" customHeight="1" x14ac:dyDescent="0.35">
      <c r="A2011" s="239" t="s">
        <v>4536</v>
      </c>
      <c r="B2011" s="3">
        <v>1876</v>
      </c>
      <c r="C2011" s="258">
        <v>102022648</v>
      </c>
      <c r="D2011" s="263" t="s">
        <v>4412</v>
      </c>
      <c r="E2011" s="264" t="s">
        <v>4427</v>
      </c>
      <c r="F2011" s="259">
        <v>10</v>
      </c>
      <c r="G2011" s="254" t="s">
        <v>17</v>
      </c>
      <c r="H2011" s="265">
        <v>43097</v>
      </c>
      <c r="I2011" s="251" t="s">
        <v>1002</v>
      </c>
      <c r="J2011" s="253" t="s">
        <v>1962</v>
      </c>
      <c r="K2011" s="253" t="s">
        <v>988</v>
      </c>
      <c r="L2011" s="254" t="s">
        <v>977</v>
      </c>
      <c r="M2011" s="266">
        <v>493147.4</v>
      </c>
      <c r="N2011" s="256">
        <f t="shared" si="455"/>
        <v>49314.74</v>
      </c>
      <c r="O2011" s="267">
        <v>493147.4</v>
      </c>
      <c r="P2011" s="72">
        <v>863730</v>
      </c>
      <c r="Q2011" s="256">
        <f t="shared" ref="Q2011:Q2018" si="457">R2011-P2011</f>
        <v>190020.6</v>
      </c>
      <c r="R2011" s="256">
        <f t="shared" ref="R2011:R2018" si="458">P2011*1.22</f>
        <v>1053750.6000000001</v>
      </c>
      <c r="S2011" s="289"/>
      <c r="T2011" s="254">
        <v>123</v>
      </c>
      <c r="U2011" s="292" t="s">
        <v>4575</v>
      </c>
    </row>
    <row r="2012" spans="1:21" ht="20.5" customHeight="1" x14ac:dyDescent="0.35">
      <c r="A2012" s="239" t="s">
        <v>4537</v>
      </c>
      <c r="B2012" s="3">
        <v>1877</v>
      </c>
      <c r="C2012" s="258">
        <v>102018907</v>
      </c>
      <c r="D2012" s="263" t="s">
        <v>4413</v>
      </c>
      <c r="E2012" s="264" t="s">
        <v>4427</v>
      </c>
      <c r="F2012" s="259">
        <v>564</v>
      </c>
      <c r="G2012" s="254" t="s">
        <v>0</v>
      </c>
      <c r="H2012" s="265">
        <v>43097</v>
      </c>
      <c r="I2012" s="251" t="s">
        <v>1002</v>
      </c>
      <c r="J2012" s="253" t="s">
        <v>1962</v>
      </c>
      <c r="K2012" s="253" t="s">
        <v>988</v>
      </c>
      <c r="L2012" s="254" t="s">
        <v>977</v>
      </c>
      <c r="M2012" s="266">
        <v>17766</v>
      </c>
      <c r="N2012" s="256">
        <f t="shared" si="455"/>
        <v>31.5</v>
      </c>
      <c r="O2012" s="267">
        <v>17766</v>
      </c>
      <c r="P2012" s="72">
        <v>31120</v>
      </c>
      <c r="Q2012" s="256">
        <f t="shared" si="457"/>
        <v>6846.4</v>
      </c>
      <c r="R2012" s="256">
        <f t="shared" si="458"/>
        <v>37966.400000000001</v>
      </c>
      <c r="S2012" s="290"/>
      <c r="T2012" s="254">
        <v>123</v>
      </c>
      <c r="U2012" s="294"/>
    </row>
    <row r="2013" spans="1:21" ht="20.5" customHeight="1" x14ac:dyDescent="0.35">
      <c r="A2013" s="239" t="s">
        <v>4538</v>
      </c>
      <c r="B2013" s="3">
        <v>1878</v>
      </c>
      <c r="C2013" s="258">
        <v>102011748</v>
      </c>
      <c r="D2013" s="263" t="s">
        <v>4189</v>
      </c>
      <c r="E2013" s="264" t="s">
        <v>4427</v>
      </c>
      <c r="F2013" s="259">
        <v>1</v>
      </c>
      <c r="G2013" s="254" t="s">
        <v>0</v>
      </c>
      <c r="H2013" s="265">
        <v>43097</v>
      </c>
      <c r="I2013" s="251" t="s">
        <v>1002</v>
      </c>
      <c r="J2013" s="253" t="s">
        <v>1962</v>
      </c>
      <c r="K2013" s="253" t="s">
        <v>988</v>
      </c>
      <c r="L2013" s="254" t="s">
        <v>977</v>
      </c>
      <c r="M2013" s="266">
        <v>167851.16</v>
      </c>
      <c r="N2013" s="256">
        <f t="shared" si="455"/>
        <v>167851.16</v>
      </c>
      <c r="O2013" s="267">
        <v>167851.16</v>
      </c>
      <c r="P2013" s="72">
        <v>293990</v>
      </c>
      <c r="Q2013" s="256">
        <f t="shared" si="457"/>
        <v>64677.8</v>
      </c>
      <c r="R2013" s="256">
        <f t="shared" si="458"/>
        <v>358667.8</v>
      </c>
      <c r="S2013" s="290"/>
      <c r="T2013" s="254">
        <v>123</v>
      </c>
      <c r="U2013" s="294"/>
    </row>
    <row r="2014" spans="1:21" ht="20.5" customHeight="1" x14ac:dyDescent="0.35">
      <c r="A2014" s="239" t="s">
        <v>4539</v>
      </c>
      <c r="B2014" s="3">
        <v>1879</v>
      </c>
      <c r="C2014" s="258">
        <v>102011749</v>
      </c>
      <c r="D2014" s="263" t="s">
        <v>4190</v>
      </c>
      <c r="E2014" s="264" t="s">
        <v>4427</v>
      </c>
      <c r="F2014" s="259">
        <v>1</v>
      </c>
      <c r="G2014" s="254" t="s">
        <v>0</v>
      </c>
      <c r="H2014" s="265">
        <v>43097</v>
      </c>
      <c r="I2014" s="251" t="s">
        <v>1002</v>
      </c>
      <c r="J2014" s="253" t="s">
        <v>1962</v>
      </c>
      <c r="K2014" s="253" t="s">
        <v>988</v>
      </c>
      <c r="L2014" s="254" t="s">
        <v>977</v>
      </c>
      <c r="M2014" s="266">
        <v>177899.9</v>
      </c>
      <c r="N2014" s="256">
        <f t="shared" si="455"/>
        <v>177899.9</v>
      </c>
      <c r="O2014" s="267">
        <v>177899.9</v>
      </c>
      <c r="P2014" s="72">
        <v>311590</v>
      </c>
      <c r="Q2014" s="256">
        <f t="shared" si="457"/>
        <v>68549.8</v>
      </c>
      <c r="R2014" s="256">
        <f t="shared" si="458"/>
        <v>380139.8</v>
      </c>
      <c r="S2014" s="290"/>
      <c r="T2014" s="254">
        <v>123</v>
      </c>
      <c r="U2014" s="294"/>
    </row>
    <row r="2015" spans="1:21" ht="20.5" customHeight="1" x14ac:dyDescent="0.35">
      <c r="A2015" s="239" t="s">
        <v>4540</v>
      </c>
      <c r="B2015" s="3">
        <v>1880</v>
      </c>
      <c r="C2015" s="258">
        <v>102012993</v>
      </c>
      <c r="D2015" s="263" t="s">
        <v>4414</v>
      </c>
      <c r="E2015" s="264" t="s">
        <v>4427</v>
      </c>
      <c r="F2015" s="259">
        <v>1</v>
      </c>
      <c r="G2015" s="254" t="s">
        <v>0</v>
      </c>
      <c r="H2015" s="265">
        <v>43097</v>
      </c>
      <c r="I2015" s="251" t="s">
        <v>1002</v>
      </c>
      <c r="J2015" s="253" t="s">
        <v>1962</v>
      </c>
      <c r="K2015" s="253" t="s">
        <v>988</v>
      </c>
      <c r="L2015" s="254" t="s">
        <v>977</v>
      </c>
      <c r="M2015" s="266">
        <v>182.86</v>
      </c>
      <c r="N2015" s="256">
        <f t="shared" si="455"/>
        <v>182.86</v>
      </c>
      <c r="O2015" s="267">
        <v>182.86</v>
      </c>
      <c r="P2015" s="72">
        <v>320</v>
      </c>
      <c r="Q2015" s="256">
        <f t="shared" si="457"/>
        <v>70.400000000000006</v>
      </c>
      <c r="R2015" s="256">
        <f t="shared" si="458"/>
        <v>390.4</v>
      </c>
      <c r="S2015" s="290"/>
      <c r="T2015" s="254">
        <v>123</v>
      </c>
      <c r="U2015" s="294"/>
    </row>
    <row r="2016" spans="1:21" ht="20.5" customHeight="1" x14ac:dyDescent="0.35">
      <c r="A2016" s="239" t="s">
        <v>4541</v>
      </c>
      <c r="B2016" s="3">
        <v>1881</v>
      </c>
      <c r="C2016" s="258">
        <v>102018939</v>
      </c>
      <c r="D2016" s="263" t="s">
        <v>4415</v>
      </c>
      <c r="E2016" s="264" t="s">
        <v>4427</v>
      </c>
      <c r="F2016" s="259">
        <v>19</v>
      </c>
      <c r="G2016" s="254" t="s">
        <v>0</v>
      </c>
      <c r="H2016" s="265">
        <v>43097</v>
      </c>
      <c r="I2016" s="251" t="s">
        <v>1002</v>
      </c>
      <c r="J2016" s="253" t="s">
        <v>1962</v>
      </c>
      <c r="K2016" s="253" t="s">
        <v>988</v>
      </c>
      <c r="L2016" s="254" t="s">
        <v>977</v>
      </c>
      <c r="M2016" s="266">
        <v>27895.23</v>
      </c>
      <c r="N2016" s="256">
        <f t="shared" si="455"/>
        <v>1468.17</v>
      </c>
      <c r="O2016" s="267">
        <v>27895.23</v>
      </c>
      <c r="P2016" s="72">
        <v>48860</v>
      </c>
      <c r="Q2016" s="256">
        <f t="shared" si="457"/>
        <v>10749.2</v>
      </c>
      <c r="R2016" s="256">
        <f t="shared" si="458"/>
        <v>59609.2</v>
      </c>
      <c r="S2016" s="290"/>
      <c r="T2016" s="254">
        <v>123</v>
      </c>
      <c r="U2016" s="294"/>
    </row>
    <row r="2017" spans="1:21" ht="20.5" customHeight="1" x14ac:dyDescent="0.35">
      <c r="A2017" s="239" t="s">
        <v>4542</v>
      </c>
      <c r="B2017" s="3">
        <v>1882</v>
      </c>
      <c r="C2017" s="258">
        <v>102011774</v>
      </c>
      <c r="D2017" s="263" t="s">
        <v>4416</v>
      </c>
      <c r="E2017" s="264" t="s">
        <v>4427</v>
      </c>
      <c r="F2017" s="259">
        <v>2</v>
      </c>
      <c r="G2017" s="254" t="s">
        <v>0</v>
      </c>
      <c r="H2017" s="265">
        <v>43097</v>
      </c>
      <c r="I2017" s="251" t="s">
        <v>1002</v>
      </c>
      <c r="J2017" s="253" t="s">
        <v>1962</v>
      </c>
      <c r="K2017" s="253" t="s">
        <v>988</v>
      </c>
      <c r="L2017" s="254" t="s">
        <v>977</v>
      </c>
      <c r="M2017" s="266">
        <v>7750.98</v>
      </c>
      <c r="N2017" s="256">
        <f t="shared" si="455"/>
        <v>3875.49</v>
      </c>
      <c r="O2017" s="267">
        <v>7750.98</v>
      </c>
      <c r="P2017" s="72">
        <v>13580</v>
      </c>
      <c r="Q2017" s="256">
        <f t="shared" si="457"/>
        <v>2987.6</v>
      </c>
      <c r="R2017" s="256">
        <f t="shared" si="458"/>
        <v>16567.599999999999</v>
      </c>
      <c r="S2017" s="290"/>
      <c r="T2017" s="254">
        <v>123</v>
      </c>
      <c r="U2017" s="294"/>
    </row>
    <row r="2018" spans="1:21" ht="20.5" customHeight="1" x14ac:dyDescent="0.35">
      <c r="A2018" s="239" t="s">
        <v>4543</v>
      </c>
      <c r="B2018" s="3">
        <v>1883</v>
      </c>
      <c r="C2018" s="258">
        <v>102011729</v>
      </c>
      <c r="D2018" s="263" t="s">
        <v>4417</v>
      </c>
      <c r="E2018" s="264" t="s">
        <v>4427</v>
      </c>
      <c r="F2018" s="259">
        <v>1</v>
      </c>
      <c r="G2018" s="254" t="s">
        <v>0</v>
      </c>
      <c r="H2018" s="265">
        <v>43097</v>
      </c>
      <c r="I2018" s="251" t="s">
        <v>1002</v>
      </c>
      <c r="J2018" s="253" t="s">
        <v>1962</v>
      </c>
      <c r="K2018" s="253" t="s">
        <v>988</v>
      </c>
      <c r="L2018" s="254" t="s">
        <v>977</v>
      </c>
      <c r="M2018" s="266">
        <v>4263.04</v>
      </c>
      <c r="N2018" s="256">
        <f t="shared" si="455"/>
        <v>4263.04</v>
      </c>
      <c r="O2018" s="267">
        <v>4263.04</v>
      </c>
      <c r="P2018" s="72">
        <v>7470</v>
      </c>
      <c r="Q2018" s="256">
        <f t="shared" si="457"/>
        <v>1643.4</v>
      </c>
      <c r="R2018" s="256">
        <f t="shared" si="458"/>
        <v>9113.4</v>
      </c>
      <c r="S2018" s="291"/>
      <c r="T2018" s="254">
        <v>123</v>
      </c>
      <c r="U2018" s="294"/>
    </row>
    <row r="2019" spans="1:21" ht="20.5" customHeight="1" x14ac:dyDescent="0.35">
      <c r="A2019" s="218"/>
      <c r="B2019" s="94"/>
      <c r="C2019" s="258"/>
      <c r="D2019" s="263"/>
      <c r="E2019" s="264"/>
      <c r="F2019" s="259"/>
      <c r="G2019" s="254"/>
      <c r="H2019" s="265"/>
      <c r="I2019" s="251"/>
      <c r="J2019" s="253"/>
      <c r="K2019" s="253"/>
      <c r="L2019" s="254"/>
      <c r="M2019" s="266"/>
      <c r="N2019" s="256"/>
      <c r="O2019" s="268">
        <f>SUM(O2011:S2018)</f>
        <v>4729166.97</v>
      </c>
      <c r="P2019" s="276">
        <f t="shared" ref="P2019:Q2019" si="459">SUM(P2011:P2018)</f>
        <v>1570660</v>
      </c>
      <c r="Q2019" s="282">
        <f t="shared" si="459"/>
        <v>345545.2</v>
      </c>
      <c r="R2019" s="282">
        <f>SUM(R2011:R2018)</f>
        <v>1916205.2</v>
      </c>
      <c r="S2019" s="286">
        <f>R2019/100*10</f>
        <v>191620.52</v>
      </c>
      <c r="T2019" s="273">
        <v>123</v>
      </c>
      <c r="U2019" s="295"/>
    </row>
    <row r="2020" spans="1:21" ht="20.5" customHeight="1" x14ac:dyDescent="0.35">
      <c r="A2020" s="239" t="s">
        <v>4544</v>
      </c>
      <c r="B2020" s="3">
        <v>1884</v>
      </c>
      <c r="C2020" s="258">
        <v>102018880</v>
      </c>
      <c r="D2020" s="263" t="s">
        <v>4380</v>
      </c>
      <c r="E2020" s="264" t="s">
        <v>4427</v>
      </c>
      <c r="F2020" s="259">
        <v>1.45</v>
      </c>
      <c r="G2020" s="254" t="s">
        <v>17</v>
      </c>
      <c r="H2020" s="265">
        <v>43097</v>
      </c>
      <c r="I2020" s="251" t="s">
        <v>1002</v>
      </c>
      <c r="J2020" s="253" t="s">
        <v>1962</v>
      </c>
      <c r="K2020" s="253" t="s">
        <v>988</v>
      </c>
      <c r="L2020" s="254" t="s">
        <v>977</v>
      </c>
      <c r="M2020" s="266">
        <v>152337</v>
      </c>
      <c r="N2020" s="256">
        <f t="shared" si="455"/>
        <v>105060</v>
      </c>
      <c r="O2020" s="267">
        <v>152337</v>
      </c>
      <c r="P2020" s="72">
        <v>266810</v>
      </c>
      <c r="Q2020" s="256">
        <f t="shared" ref="Q2020:Q2039" si="460">R2020-P2020</f>
        <v>58698.2</v>
      </c>
      <c r="R2020" s="256">
        <f t="shared" ref="R2020:R2039" si="461">P2020*1.22</f>
        <v>325508.2</v>
      </c>
      <c r="S2020" s="289"/>
      <c r="T2020" s="254">
        <v>124</v>
      </c>
      <c r="U2020" s="292" t="s">
        <v>4575</v>
      </c>
    </row>
    <row r="2021" spans="1:21" ht="20.5" customHeight="1" x14ac:dyDescent="0.35">
      <c r="A2021" s="239" t="s">
        <v>4545</v>
      </c>
      <c r="B2021" s="3">
        <v>1885</v>
      </c>
      <c r="C2021" s="258">
        <v>102012852</v>
      </c>
      <c r="D2021" s="263" t="s">
        <v>4229</v>
      </c>
      <c r="E2021" s="264" t="s">
        <v>4427</v>
      </c>
      <c r="F2021" s="259">
        <v>1</v>
      </c>
      <c r="G2021" s="254" t="s">
        <v>0</v>
      </c>
      <c r="H2021" s="265">
        <v>43097</v>
      </c>
      <c r="I2021" s="251" t="s">
        <v>1002</v>
      </c>
      <c r="J2021" s="253" t="s">
        <v>1962</v>
      </c>
      <c r="K2021" s="253" t="s">
        <v>988</v>
      </c>
      <c r="L2021" s="254" t="s">
        <v>977</v>
      </c>
      <c r="M2021" s="266">
        <v>133497.16</v>
      </c>
      <c r="N2021" s="256">
        <f t="shared" si="455"/>
        <v>133497.16</v>
      </c>
      <c r="O2021" s="267">
        <v>133497.16</v>
      </c>
      <c r="P2021" s="72">
        <v>233820</v>
      </c>
      <c r="Q2021" s="256">
        <f t="shared" si="460"/>
        <v>51440.4</v>
      </c>
      <c r="R2021" s="256">
        <f t="shared" si="461"/>
        <v>285260.40000000002</v>
      </c>
      <c r="S2021" s="290"/>
      <c r="T2021" s="254">
        <v>124</v>
      </c>
      <c r="U2021" s="294"/>
    </row>
    <row r="2022" spans="1:21" ht="20.5" customHeight="1" x14ac:dyDescent="0.35">
      <c r="A2022" s="239" t="s">
        <v>4548</v>
      </c>
      <c r="B2022" s="3">
        <v>1886</v>
      </c>
      <c r="C2022" s="258">
        <v>102011755</v>
      </c>
      <c r="D2022" s="263" t="s">
        <v>4418</v>
      </c>
      <c r="E2022" s="264" t="s">
        <v>4427</v>
      </c>
      <c r="F2022" s="259">
        <v>1</v>
      </c>
      <c r="G2022" s="254" t="s">
        <v>0</v>
      </c>
      <c r="H2022" s="265">
        <v>43097</v>
      </c>
      <c r="I2022" s="251" t="s">
        <v>1002</v>
      </c>
      <c r="J2022" s="253" t="s">
        <v>1962</v>
      </c>
      <c r="K2022" s="253" t="s">
        <v>988</v>
      </c>
      <c r="L2022" s="254" t="s">
        <v>977</v>
      </c>
      <c r="M2022" s="266">
        <v>40609.11</v>
      </c>
      <c r="N2022" s="256">
        <f t="shared" si="455"/>
        <v>40609.11</v>
      </c>
      <c r="O2022" s="267">
        <v>40609.11</v>
      </c>
      <c r="P2022" s="72">
        <v>71130</v>
      </c>
      <c r="Q2022" s="256">
        <f t="shared" si="460"/>
        <v>15648.6</v>
      </c>
      <c r="R2022" s="256">
        <f t="shared" si="461"/>
        <v>86778.6</v>
      </c>
      <c r="S2022" s="290"/>
      <c r="T2022" s="254">
        <v>124</v>
      </c>
      <c r="U2022" s="294"/>
    </row>
    <row r="2023" spans="1:21" ht="20.5" customHeight="1" x14ac:dyDescent="0.35">
      <c r="A2023" s="239" t="s">
        <v>4549</v>
      </c>
      <c r="B2023" s="3">
        <v>1887</v>
      </c>
      <c r="C2023" s="258">
        <v>102022650</v>
      </c>
      <c r="D2023" s="263" t="s">
        <v>4419</v>
      </c>
      <c r="E2023" s="264" t="s">
        <v>4427</v>
      </c>
      <c r="F2023" s="259">
        <v>1</v>
      </c>
      <c r="G2023" s="254" t="s">
        <v>0</v>
      </c>
      <c r="H2023" s="265">
        <v>43097</v>
      </c>
      <c r="I2023" s="251" t="s">
        <v>1002</v>
      </c>
      <c r="J2023" s="253" t="s">
        <v>1962</v>
      </c>
      <c r="K2023" s="253" t="s">
        <v>988</v>
      </c>
      <c r="L2023" s="254" t="s">
        <v>977</v>
      </c>
      <c r="M2023" s="266">
        <v>63819.75</v>
      </c>
      <c r="N2023" s="256">
        <f t="shared" si="455"/>
        <v>63819.75</v>
      </c>
      <c r="O2023" s="267">
        <v>63819.75</v>
      </c>
      <c r="P2023" s="72">
        <v>111780</v>
      </c>
      <c r="Q2023" s="256">
        <f t="shared" si="460"/>
        <v>24591.599999999999</v>
      </c>
      <c r="R2023" s="256">
        <f t="shared" si="461"/>
        <v>136371.6</v>
      </c>
      <c r="S2023" s="290"/>
      <c r="T2023" s="254">
        <v>124</v>
      </c>
      <c r="U2023" s="294"/>
    </row>
    <row r="2024" spans="1:21" ht="20.5" customHeight="1" x14ac:dyDescent="0.35">
      <c r="A2024" s="239" t="s">
        <v>4550</v>
      </c>
      <c r="B2024" s="3">
        <v>1888</v>
      </c>
      <c r="C2024" s="258">
        <v>102017520</v>
      </c>
      <c r="D2024" s="263" t="s">
        <v>4314</v>
      </c>
      <c r="E2024" s="248" t="s">
        <v>2230</v>
      </c>
      <c r="F2024" s="259">
        <v>13</v>
      </c>
      <c r="G2024" s="254" t="s">
        <v>0</v>
      </c>
      <c r="H2024" s="265">
        <v>43097</v>
      </c>
      <c r="I2024" s="251" t="s">
        <v>1002</v>
      </c>
      <c r="J2024" s="253" t="s">
        <v>1962</v>
      </c>
      <c r="K2024" s="253" t="s">
        <v>988</v>
      </c>
      <c r="L2024" s="254" t="s">
        <v>977</v>
      </c>
      <c r="M2024" s="266">
        <v>1337.96</v>
      </c>
      <c r="N2024" s="256">
        <f t="shared" si="455"/>
        <v>102.92</v>
      </c>
      <c r="O2024" s="267">
        <v>1337.96</v>
      </c>
      <c r="P2024" s="72">
        <v>2340</v>
      </c>
      <c r="Q2024" s="256">
        <f t="shared" si="460"/>
        <v>514.79999999999995</v>
      </c>
      <c r="R2024" s="256">
        <f t="shared" si="461"/>
        <v>2854.8</v>
      </c>
      <c r="S2024" s="290"/>
      <c r="T2024" s="254">
        <v>124</v>
      </c>
      <c r="U2024" s="294"/>
    </row>
    <row r="2025" spans="1:21" ht="20.5" customHeight="1" x14ac:dyDescent="0.35">
      <c r="A2025" s="239" t="s">
        <v>4551</v>
      </c>
      <c r="B2025" s="3">
        <v>1889</v>
      </c>
      <c r="C2025" s="258">
        <v>102017519</v>
      </c>
      <c r="D2025" s="263" t="s">
        <v>4315</v>
      </c>
      <c r="E2025" s="248" t="s">
        <v>2230</v>
      </c>
      <c r="F2025" s="259">
        <v>5</v>
      </c>
      <c r="G2025" s="254" t="s">
        <v>0</v>
      </c>
      <c r="H2025" s="265">
        <v>43097</v>
      </c>
      <c r="I2025" s="251" t="s">
        <v>1002</v>
      </c>
      <c r="J2025" s="253" t="s">
        <v>1962</v>
      </c>
      <c r="K2025" s="253" t="s">
        <v>988</v>
      </c>
      <c r="L2025" s="254" t="s">
        <v>977</v>
      </c>
      <c r="M2025" s="266">
        <v>555.45000000000005</v>
      </c>
      <c r="N2025" s="256">
        <f t="shared" si="455"/>
        <v>111.09</v>
      </c>
      <c r="O2025" s="267">
        <v>555.45000000000005</v>
      </c>
      <c r="P2025" s="72">
        <v>970</v>
      </c>
      <c r="Q2025" s="256">
        <f t="shared" si="460"/>
        <v>213.4</v>
      </c>
      <c r="R2025" s="256">
        <f t="shared" si="461"/>
        <v>1183.4000000000001</v>
      </c>
      <c r="S2025" s="290"/>
      <c r="T2025" s="254">
        <v>124</v>
      </c>
      <c r="U2025" s="294"/>
    </row>
    <row r="2026" spans="1:21" ht="20.5" customHeight="1" x14ac:dyDescent="0.35">
      <c r="A2026" s="239" t="s">
        <v>4552</v>
      </c>
      <c r="B2026" s="3">
        <v>1890</v>
      </c>
      <c r="C2026" s="258">
        <v>102017518</v>
      </c>
      <c r="D2026" s="263" t="s">
        <v>4316</v>
      </c>
      <c r="E2026" s="248" t="s">
        <v>2230</v>
      </c>
      <c r="F2026" s="259">
        <v>1</v>
      </c>
      <c r="G2026" s="254" t="s">
        <v>0</v>
      </c>
      <c r="H2026" s="265">
        <v>43097</v>
      </c>
      <c r="I2026" s="251" t="s">
        <v>1002</v>
      </c>
      <c r="J2026" s="253" t="s">
        <v>1962</v>
      </c>
      <c r="K2026" s="253" t="s">
        <v>988</v>
      </c>
      <c r="L2026" s="254" t="s">
        <v>977</v>
      </c>
      <c r="M2026" s="266">
        <v>1359.89</v>
      </c>
      <c r="N2026" s="256">
        <f t="shared" si="455"/>
        <v>1359.89</v>
      </c>
      <c r="O2026" s="267">
        <v>1359.89</v>
      </c>
      <c r="P2026" s="72">
        <v>2380</v>
      </c>
      <c r="Q2026" s="256">
        <f t="shared" si="460"/>
        <v>523.6</v>
      </c>
      <c r="R2026" s="256">
        <f t="shared" si="461"/>
        <v>2903.6</v>
      </c>
      <c r="S2026" s="290"/>
      <c r="T2026" s="254">
        <v>124</v>
      </c>
      <c r="U2026" s="294"/>
    </row>
    <row r="2027" spans="1:21" ht="20.5" customHeight="1" x14ac:dyDescent="0.35">
      <c r="A2027" s="239" t="s">
        <v>4546</v>
      </c>
      <c r="B2027" s="3">
        <v>1891</v>
      </c>
      <c r="C2027" s="258">
        <v>102017517</v>
      </c>
      <c r="D2027" s="263" t="s">
        <v>4318</v>
      </c>
      <c r="E2027" s="248" t="s">
        <v>2230</v>
      </c>
      <c r="F2027" s="259">
        <v>36</v>
      </c>
      <c r="G2027" s="254" t="s">
        <v>0</v>
      </c>
      <c r="H2027" s="265">
        <v>43097</v>
      </c>
      <c r="I2027" s="251" t="s">
        <v>1002</v>
      </c>
      <c r="J2027" s="253" t="s">
        <v>1962</v>
      </c>
      <c r="K2027" s="253" t="s">
        <v>988</v>
      </c>
      <c r="L2027" s="254" t="s">
        <v>977</v>
      </c>
      <c r="M2027" s="266">
        <v>6242.04</v>
      </c>
      <c r="N2027" s="256">
        <f t="shared" si="455"/>
        <v>173.39</v>
      </c>
      <c r="O2027" s="267">
        <v>6242.04</v>
      </c>
      <c r="P2027" s="72">
        <v>10930</v>
      </c>
      <c r="Q2027" s="256">
        <f t="shared" si="460"/>
        <v>2404.6</v>
      </c>
      <c r="R2027" s="256">
        <f t="shared" si="461"/>
        <v>13334.6</v>
      </c>
      <c r="S2027" s="290"/>
      <c r="T2027" s="254">
        <v>124</v>
      </c>
      <c r="U2027" s="294"/>
    </row>
    <row r="2028" spans="1:21" ht="20.5" customHeight="1" x14ac:dyDescent="0.35">
      <c r="A2028" s="239" t="s">
        <v>4553</v>
      </c>
      <c r="B2028" s="3">
        <v>1892</v>
      </c>
      <c r="C2028" s="258">
        <v>102017515</v>
      </c>
      <c r="D2028" s="263" t="s">
        <v>4319</v>
      </c>
      <c r="E2028" s="248" t="s">
        <v>2230</v>
      </c>
      <c r="F2028" s="259">
        <v>5</v>
      </c>
      <c r="G2028" s="254" t="s">
        <v>0</v>
      </c>
      <c r="H2028" s="265">
        <v>43097</v>
      </c>
      <c r="I2028" s="251" t="s">
        <v>1002</v>
      </c>
      <c r="J2028" s="253" t="s">
        <v>1962</v>
      </c>
      <c r="K2028" s="253" t="s">
        <v>988</v>
      </c>
      <c r="L2028" s="254" t="s">
        <v>977</v>
      </c>
      <c r="M2028" s="266">
        <v>1128.6500000000001</v>
      </c>
      <c r="N2028" s="256">
        <f t="shared" si="455"/>
        <v>225.73</v>
      </c>
      <c r="O2028" s="267">
        <v>1128.6500000000001</v>
      </c>
      <c r="P2028" s="72">
        <v>1980</v>
      </c>
      <c r="Q2028" s="256">
        <f t="shared" si="460"/>
        <v>435.6</v>
      </c>
      <c r="R2028" s="256">
        <f t="shared" si="461"/>
        <v>2415.6</v>
      </c>
      <c r="S2028" s="290"/>
      <c r="T2028" s="254">
        <v>124</v>
      </c>
      <c r="U2028" s="294"/>
    </row>
    <row r="2029" spans="1:21" ht="20.5" customHeight="1" x14ac:dyDescent="0.35">
      <c r="A2029" s="239" t="s">
        <v>4547</v>
      </c>
      <c r="B2029" s="3">
        <v>1893</v>
      </c>
      <c r="C2029" s="258">
        <v>102011769</v>
      </c>
      <c r="D2029" s="263" t="s">
        <v>4420</v>
      </c>
      <c r="E2029" s="248" t="s">
        <v>2230</v>
      </c>
      <c r="F2029" s="259">
        <v>1</v>
      </c>
      <c r="G2029" s="254" t="s">
        <v>0</v>
      </c>
      <c r="H2029" s="265">
        <v>43097</v>
      </c>
      <c r="I2029" s="251" t="s">
        <v>1002</v>
      </c>
      <c r="J2029" s="253" t="s">
        <v>1962</v>
      </c>
      <c r="K2029" s="253" t="s">
        <v>988</v>
      </c>
      <c r="L2029" s="254" t="s">
        <v>977</v>
      </c>
      <c r="M2029" s="266">
        <v>1860.87</v>
      </c>
      <c r="N2029" s="256">
        <f t="shared" si="455"/>
        <v>1860.87</v>
      </c>
      <c r="O2029" s="267">
        <v>1860.87</v>
      </c>
      <c r="P2029" s="72">
        <v>3260</v>
      </c>
      <c r="Q2029" s="256">
        <f t="shared" si="460"/>
        <v>717.2</v>
      </c>
      <c r="R2029" s="256">
        <f t="shared" si="461"/>
        <v>3977.2</v>
      </c>
      <c r="S2029" s="290"/>
      <c r="T2029" s="254">
        <v>124</v>
      </c>
      <c r="U2029" s="294"/>
    </row>
    <row r="2030" spans="1:21" ht="20.5" customHeight="1" x14ac:dyDescent="0.35">
      <c r="A2030" s="239" t="s">
        <v>4554</v>
      </c>
      <c r="B2030" s="3">
        <v>1894</v>
      </c>
      <c r="C2030" s="258">
        <v>102011787</v>
      </c>
      <c r="D2030" s="263" t="s">
        <v>4399</v>
      </c>
      <c r="E2030" s="248" t="s">
        <v>2230</v>
      </c>
      <c r="F2030" s="259">
        <v>6</v>
      </c>
      <c r="G2030" s="254" t="s">
        <v>0</v>
      </c>
      <c r="H2030" s="265">
        <v>43097</v>
      </c>
      <c r="I2030" s="251" t="s">
        <v>1002</v>
      </c>
      <c r="J2030" s="253" t="s">
        <v>1962</v>
      </c>
      <c r="K2030" s="253" t="s">
        <v>988</v>
      </c>
      <c r="L2030" s="254" t="s">
        <v>977</v>
      </c>
      <c r="M2030" s="266">
        <v>7504.98</v>
      </c>
      <c r="N2030" s="256">
        <f t="shared" si="455"/>
        <v>1250.83</v>
      </c>
      <c r="O2030" s="267">
        <v>7504.98</v>
      </c>
      <c r="P2030" s="72">
        <v>13140</v>
      </c>
      <c r="Q2030" s="256">
        <f t="shared" si="460"/>
        <v>2890.8</v>
      </c>
      <c r="R2030" s="256">
        <f t="shared" si="461"/>
        <v>16030.8</v>
      </c>
      <c r="S2030" s="290"/>
      <c r="T2030" s="254">
        <v>124</v>
      </c>
      <c r="U2030" s="294"/>
    </row>
    <row r="2031" spans="1:21" ht="20.5" customHeight="1" x14ac:dyDescent="0.35">
      <c r="A2031" s="239" t="s">
        <v>4555</v>
      </c>
      <c r="B2031" s="3">
        <v>1895</v>
      </c>
      <c r="C2031" s="258">
        <v>102018971</v>
      </c>
      <c r="D2031" s="263" t="s">
        <v>4333</v>
      </c>
      <c r="E2031" s="248" t="s">
        <v>2230</v>
      </c>
      <c r="F2031" s="259">
        <v>24</v>
      </c>
      <c r="G2031" s="254" t="s">
        <v>0</v>
      </c>
      <c r="H2031" s="265">
        <v>43097</v>
      </c>
      <c r="I2031" s="251" t="s">
        <v>1002</v>
      </c>
      <c r="J2031" s="253" t="s">
        <v>1962</v>
      </c>
      <c r="K2031" s="253" t="s">
        <v>988</v>
      </c>
      <c r="L2031" s="254" t="s">
        <v>977</v>
      </c>
      <c r="M2031" s="266">
        <v>19643.28</v>
      </c>
      <c r="N2031" s="256">
        <f t="shared" si="455"/>
        <v>818.47</v>
      </c>
      <c r="O2031" s="267">
        <v>19643.28</v>
      </c>
      <c r="P2031" s="72">
        <v>34400</v>
      </c>
      <c r="Q2031" s="256">
        <f t="shared" si="460"/>
        <v>7568</v>
      </c>
      <c r="R2031" s="256">
        <f t="shared" si="461"/>
        <v>41968</v>
      </c>
      <c r="S2031" s="290"/>
      <c r="T2031" s="254">
        <v>124</v>
      </c>
      <c r="U2031" s="294"/>
    </row>
    <row r="2032" spans="1:21" ht="20.5" customHeight="1" x14ac:dyDescent="0.35">
      <c r="A2032" s="239" t="s">
        <v>4556</v>
      </c>
      <c r="B2032" s="3">
        <v>1896</v>
      </c>
      <c r="C2032" s="258">
        <v>102018758</v>
      </c>
      <c r="D2032" s="263" t="s">
        <v>4334</v>
      </c>
      <c r="E2032" s="248" t="s">
        <v>2230</v>
      </c>
      <c r="F2032" s="259">
        <v>162</v>
      </c>
      <c r="G2032" s="254" t="s">
        <v>0</v>
      </c>
      <c r="H2032" s="265">
        <v>43097</v>
      </c>
      <c r="I2032" s="251" t="s">
        <v>1002</v>
      </c>
      <c r="J2032" s="253" t="s">
        <v>1962</v>
      </c>
      <c r="K2032" s="253" t="s">
        <v>988</v>
      </c>
      <c r="L2032" s="254" t="s">
        <v>977</v>
      </c>
      <c r="M2032" s="266">
        <v>82825.740000000005</v>
      </c>
      <c r="N2032" s="256">
        <f t="shared" si="455"/>
        <v>511.27</v>
      </c>
      <c r="O2032" s="267">
        <v>82825.740000000005</v>
      </c>
      <c r="P2032" s="72">
        <v>145070</v>
      </c>
      <c r="Q2032" s="256">
        <f t="shared" si="460"/>
        <v>31915.4</v>
      </c>
      <c r="R2032" s="256">
        <f t="shared" si="461"/>
        <v>176985.4</v>
      </c>
      <c r="S2032" s="290"/>
      <c r="T2032" s="254">
        <v>124</v>
      </c>
      <c r="U2032" s="294"/>
    </row>
    <row r="2033" spans="1:21" ht="20.5" customHeight="1" x14ac:dyDescent="0.35">
      <c r="A2033" s="239" t="s">
        <v>4557</v>
      </c>
      <c r="B2033" s="3">
        <v>1897</v>
      </c>
      <c r="C2033" s="258">
        <v>102018759</v>
      </c>
      <c r="D2033" s="263" t="s">
        <v>4340</v>
      </c>
      <c r="E2033" s="248" t="s">
        <v>2230</v>
      </c>
      <c r="F2033" s="259">
        <v>2</v>
      </c>
      <c r="G2033" s="254" t="s">
        <v>0</v>
      </c>
      <c r="H2033" s="265">
        <v>43097</v>
      </c>
      <c r="I2033" s="251" t="s">
        <v>1002</v>
      </c>
      <c r="J2033" s="253" t="s">
        <v>1962</v>
      </c>
      <c r="K2033" s="253" t="s">
        <v>988</v>
      </c>
      <c r="L2033" s="254" t="s">
        <v>977</v>
      </c>
      <c r="M2033" s="266">
        <v>1556.98</v>
      </c>
      <c r="N2033" s="256">
        <f t="shared" si="455"/>
        <v>778.49</v>
      </c>
      <c r="O2033" s="267">
        <v>1556.98</v>
      </c>
      <c r="P2033" s="72">
        <v>2730</v>
      </c>
      <c r="Q2033" s="256">
        <f t="shared" si="460"/>
        <v>600.6</v>
      </c>
      <c r="R2033" s="256">
        <f t="shared" si="461"/>
        <v>3330.6</v>
      </c>
      <c r="S2033" s="290"/>
      <c r="T2033" s="254">
        <v>124</v>
      </c>
      <c r="U2033" s="294"/>
    </row>
    <row r="2034" spans="1:21" ht="20.5" customHeight="1" x14ac:dyDescent="0.35">
      <c r="A2034" s="239" t="s">
        <v>4558</v>
      </c>
      <c r="B2034" s="3">
        <v>1898</v>
      </c>
      <c r="C2034" s="258">
        <v>102018874</v>
      </c>
      <c r="D2034" s="263" t="s">
        <v>4404</v>
      </c>
      <c r="E2034" s="248" t="s">
        <v>2230</v>
      </c>
      <c r="F2034" s="259">
        <v>7</v>
      </c>
      <c r="G2034" s="254" t="s">
        <v>0</v>
      </c>
      <c r="H2034" s="265">
        <v>43097</v>
      </c>
      <c r="I2034" s="251" t="s">
        <v>1002</v>
      </c>
      <c r="J2034" s="253" t="s">
        <v>1962</v>
      </c>
      <c r="K2034" s="253" t="s">
        <v>988</v>
      </c>
      <c r="L2034" s="254" t="s">
        <v>977</v>
      </c>
      <c r="M2034" s="266">
        <v>4306.47</v>
      </c>
      <c r="N2034" s="256">
        <f t="shared" si="455"/>
        <v>615.21</v>
      </c>
      <c r="O2034" s="267">
        <v>4306.47</v>
      </c>
      <c r="P2034" s="72">
        <v>7540</v>
      </c>
      <c r="Q2034" s="256">
        <f t="shared" si="460"/>
        <v>1658.8</v>
      </c>
      <c r="R2034" s="256">
        <f t="shared" si="461"/>
        <v>9198.7999999999993</v>
      </c>
      <c r="S2034" s="290"/>
      <c r="T2034" s="254">
        <v>124</v>
      </c>
      <c r="U2034" s="294"/>
    </row>
    <row r="2035" spans="1:21" ht="20.5" customHeight="1" x14ac:dyDescent="0.35">
      <c r="A2035" s="239" t="s">
        <v>4559</v>
      </c>
      <c r="B2035" s="3">
        <v>1899</v>
      </c>
      <c r="C2035" s="258">
        <v>102018942</v>
      </c>
      <c r="D2035" s="263" t="s">
        <v>4421</v>
      </c>
      <c r="E2035" s="248" t="s">
        <v>2230</v>
      </c>
      <c r="F2035" s="259">
        <v>44</v>
      </c>
      <c r="G2035" s="254" t="s">
        <v>0</v>
      </c>
      <c r="H2035" s="265">
        <v>43097</v>
      </c>
      <c r="I2035" s="251" t="s">
        <v>1002</v>
      </c>
      <c r="J2035" s="253" t="s">
        <v>1962</v>
      </c>
      <c r="K2035" s="253" t="s">
        <v>988</v>
      </c>
      <c r="L2035" s="254" t="s">
        <v>977</v>
      </c>
      <c r="M2035" s="266">
        <v>103752.9</v>
      </c>
      <c r="N2035" s="256">
        <f t="shared" si="455"/>
        <v>2358.02</v>
      </c>
      <c r="O2035" s="267">
        <v>103752.9</v>
      </c>
      <c r="P2035" s="72">
        <v>181720</v>
      </c>
      <c r="Q2035" s="256">
        <f t="shared" si="460"/>
        <v>39978.400000000001</v>
      </c>
      <c r="R2035" s="256">
        <f t="shared" si="461"/>
        <v>221698.4</v>
      </c>
      <c r="S2035" s="290"/>
      <c r="T2035" s="254">
        <v>124</v>
      </c>
      <c r="U2035" s="294"/>
    </row>
    <row r="2036" spans="1:21" ht="20.5" customHeight="1" x14ac:dyDescent="0.35">
      <c r="A2036" s="239" t="s">
        <v>4560</v>
      </c>
      <c r="B2036" s="3">
        <v>1900</v>
      </c>
      <c r="C2036" s="258">
        <v>102011730</v>
      </c>
      <c r="D2036" s="263" t="s">
        <v>4359</v>
      </c>
      <c r="E2036" s="248" t="s">
        <v>2230</v>
      </c>
      <c r="F2036" s="259">
        <v>2</v>
      </c>
      <c r="G2036" s="254" t="s">
        <v>0</v>
      </c>
      <c r="H2036" s="265">
        <v>43097</v>
      </c>
      <c r="I2036" s="251" t="s">
        <v>1002</v>
      </c>
      <c r="J2036" s="253" t="s">
        <v>1962</v>
      </c>
      <c r="K2036" s="253" t="s">
        <v>988</v>
      </c>
      <c r="L2036" s="254" t="s">
        <v>977</v>
      </c>
      <c r="M2036" s="266">
        <v>4962.34</v>
      </c>
      <c r="N2036" s="256">
        <f t="shared" si="455"/>
        <v>2481.17</v>
      </c>
      <c r="O2036" s="267">
        <v>4962.34</v>
      </c>
      <c r="P2036" s="72">
        <v>8690</v>
      </c>
      <c r="Q2036" s="256">
        <f t="shared" si="460"/>
        <v>1911.8</v>
      </c>
      <c r="R2036" s="256">
        <f t="shared" si="461"/>
        <v>10601.8</v>
      </c>
      <c r="S2036" s="290"/>
      <c r="T2036" s="254">
        <v>124</v>
      </c>
      <c r="U2036" s="294"/>
    </row>
    <row r="2037" spans="1:21" ht="20.5" customHeight="1" x14ac:dyDescent="0.35">
      <c r="A2037" s="239" t="s">
        <v>4561</v>
      </c>
      <c r="B2037" s="3">
        <v>1901</v>
      </c>
      <c r="C2037" s="258">
        <v>102011832</v>
      </c>
      <c r="D2037" s="263" t="s">
        <v>4360</v>
      </c>
      <c r="E2037" s="248" t="s">
        <v>2230</v>
      </c>
      <c r="F2037" s="259">
        <v>1</v>
      </c>
      <c r="G2037" s="254" t="s">
        <v>0</v>
      </c>
      <c r="H2037" s="265">
        <v>43097</v>
      </c>
      <c r="I2037" s="251" t="s">
        <v>1002</v>
      </c>
      <c r="J2037" s="253" t="s">
        <v>1962</v>
      </c>
      <c r="K2037" s="253" t="s">
        <v>988</v>
      </c>
      <c r="L2037" s="254" t="s">
        <v>977</v>
      </c>
      <c r="M2037" s="266">
        <v>103216.68</v>
      </c>
      <c r="N2037" s="256">
        <f t="shared" si="455"/>
        <v>103216.68</v>
      </c>
      <c r="O2037" s="267">
        <v>103216.68</v>
      </c>
      <c r="P2037" s="72">
        <v>180780</v>
      </c>
      <c r="Q2037" s="256">
        <f t="shared" si="460"/>
        <v>39771.599999999999</v>
      </c>
      <c r="R2037" s="256">
        <f t="shared" si="461"/>
        <v>220551.6</v>
      </c>
      <c r="S2037" s="290"/>
      <c r="T2037" s="254">
        <v>124</v>
      </c>
      <c r="U2037" s="294"/>
    </row>
    <row r="2038" spans="1:21" ht="20.5" customHeight="1" x14ac:dyDescent="0.35">
      <c r="A2038" s="239" t="s">
        <v>4562</v>
      </c>
      <c r="B2038" s="3">
        <v>1902</v>
      </c>
      <c r="C2038" s="258">
        <v>102011727</v>
      </c>
      <c r="D2038" s="263" t="s">
        <v>4408</v>
      </c>
      <c r="E2038" s="248" t="s">
        <v>2230</v>
      </c>
      <c r="F2038" s="259">
        <v>3</v>
      </c>
      <c r="G2038" s="254" t="s">
        <v>0</v>
      </c>
      <c r="H2038" s="265">
        <v>43097</v>
      </c>
      <c r="I2038" s="251" t="s">
        <v>1002</v>
      </c>
      <c r="J2038" s="253" t="s">
        <v>1962</v>
      </c>
      <c r="K2038" s="253" t="s">
        <v>988</v>
      </c>
      <c r="L2038" s="254" t="s">
        <v>977</v>
      </c>
      <c r="M2038" s="266">
        <v>49495.32</v>
      </c>
      <c r="N2038" s="256">
        <f t="shared" si="455"/>
        <v>16498.439999999999</v>
      </c>
      <c r="O2038" s="267">
        <v>49495.32</v>
      </c>
      <c r="P2038" s="72">
        <v>86690</v>
      </c>
      <c r="Q2038" s="256">
        <f t="shared" si="460"/>
        <v>19071.8</v>
      </c>
      <c r="R2038" s="256">
        <f t="shared" si="461"/>
        <v>105761.8</v>
      </c>
      <c r="S2038" s="290"/>
      <c r="T2038" s="254">
        <v>124</v>
      </c>
      <c r="U2038" s="294"/>
    </row>
    <row r="2039" spans="1:21" ht="20.5" customHeight="1" x14ac:dyDescent="0.35">
      <c r="A2039" s="239" t="s">
        <v>4563</v>
      </c>
      <c r="B2039" s="3">
        <v>1903</v>
      </c>
      <c r="C2039" s="258">
        <v>102011790</v>
      </c>
      <c r="D2039" s="263" t="s">
        <v>4372</v>
      </c>
      <c r="E2039" s="248" t="s">
        <v>2230</v>
      </c>
      <c r="F2039" s="259">
        <v>2</v>
      </c>
      <c r="G2039" s="254" t="s">
        <v>0</v>
      </c>
      <c r="H2039" s="265">
        <v>43097</v>
      </c>
      <c r="I2039" s="251" t="s">
        <v>1002</v>
      </c>
      <c r="J2039" s="253" t="s">
        <v>1962</v>
      </c>
      <c r="K2039" s="253" t="s">
        <v>988</v>
      </c>
      <c r="L2039" s="254" t="s">
        <v>977</v>
      </c>
      <c r="M2039" s="266">
        <v>8197.74</v>
      </c>
      <c r="N2039" s="256">
        <f t="shared" si="455"/>
        <v>4098.87</v>
      </c>
      <c r="O2039" s="267">
        <v>8197.74</v>
      </c>
      <c r="P2039" s="72">
        <v>14360</v>
      </c>
      <c r="Q2039" s="256">
        <f t="shared" si="460"/>
        <v>3159.2</v>
      </c>
      <c r="R2039" s="256">
        <f t="shared" si="461"/>
        <v>17519.2</v>
      </c>
      <c r="S2039" s="291"/>
      <c r="T2039" s="254">
        <v>124</v>
      </c>
      <c r="U2039" s="294"/>
    </row>
    <row r="2040" spans="1:21" ht="20.5" customHeight="1" x14ac:dyDescent="0.35">
      <c r="A2040" s="239"/>
      <c r="B2040" s="94"/>
      <c r="C2040" s="258"/>
      <c r="D2040" s="263"/>
      <c r="E2040" s="248"/>
      <c r="F2040" s="259"/>
      <c r="G2040" s="254"/>
      <c r="H2040" s="265"/>
      <c r="I2040" s="251"/>
      <c r="J2040" s="253"/>
      <c r="K2040" s="253"/>
      <c r="L2040" s="254"/>
      <c r="M2040" s="266"/>
      <c r="N2040" s="256"/>
      <c r="O2040" s="268">
        <f>+SUM(O2020:O2039)</f>
        <v>788210.31</v>
      </c>
      <c r="P2040" s="276">
        <f t="shared" ref="P2040:Q2040" si="462">SUM(P2020:P2039)</f>
        <v>1380520</v>
      </c>
      <c r="Q2040" s="282">
        <f t="shared" si="462"/>
        <v>303714.40000000002</v>
      </c>
      <c r="R2040" s="282">
        <f>SUM(R2020:R2039)</f>
        <v>1684234.4</v>
      </c>
      <c r="S2040" s="286">
        <f>R2040/100*10</f>
        <v>168423.44</v>
      </c>
      <c r="T2040" s="273">
        <v>124</v>
      </c>
      <c r="U2040" s="295"/>
    </row>
    <row r="2041" spans="1:21" ht="20.5" customHeight="1" x14ac:dyDescent="0.35">
      <c r="A2041" s="239" t="s">
        <v>4564</v>
      </c>
      <c r="B2041" s="3">
        <v>1904</v>
      </c>
      <c r="C2041" s="258">
        <v>102011748</v>
      </c>
      <c r="D2041" s="263" t="s">
        <v>4189</v>
      </c>
      <c r="E2041" s="248" t="s">
        <v>2230</v>
      </c>
      <c r="F2041" s="259">
        <v>1</v>
      </c>
      <c r="G2041" s="254" t="s">
        <v>0</v>
      </c>
      <c r="H2041" s="265">
        <v>43097</v>
      </c>
      <c r="I2041" s="251" t="s">
        <v>1002</v>
      </c>
      <c r="J2041" s="253" t="s">
        <v>1962</v>
      </c>
      <c r="K2041" s="253" t="s">
        <v>988</v>
      </c>
      <c r="L2041" s="254" t="s">
        <v>977</v>
      </c>
      <c r="M2041" s="266">
        <v>167851.16</v>
      </c>
      <c r="N2041" s="256">
        <f t="shared" si="455"/>
        <v>167851.16</v>
      </c>
      <c r="O2041" s="267">
        <v>167851.16</v>
      </c>
      <c r="P2041" s="72">
        <v>293990</v>
      </c>
      <c r="Q2041" s="256">
        <f t="shared" ref="Q2041:Q2051" si="463">R2041-P2041</f>
        <v>64677.8</v>
      </c>
      <c r="R2041" s="256">
        <f t="shared" ref="R2041:R2051" si="464">P2041*1.22</f>
        <v>358667.8</v>
      </c>
      <c r="S2041" s="289"/>
      <c r="T2041" s="254">
        <v>125</v>
      </c>
      <c r="U2041" s="292" t="s">
        <v>4575</v>
      </c>
    </row>
    <row r="2042" spans="1:21" ht="20.5" customHeight="1" x14ac:dyDescent="0.35">
      <c r="A2042" s="239" t="s">
        <v>4565</v>
      </c>
      <c r="B2042" s="3">
        <v>1905</v>
      </c>
      <c r="C2042" s="258">
        <v>102011729</v>
      </c>
      <c r="D2042" s="263" t="s">
        <v>4417</v>
      </c>
      <c r="E2042" s="248" t="s">
        <v>2230</v>
      </c>
      <c r="F2042" s="259">
        <v>1</v>
      </c>
      <c r="G2042" s="254" t="s">
        <v>0</v>
      </c>
      <c r="H2042" s="265">
        <v>43097</v>
      </c>
      <c r="I2042" s="251" t="s">
        <v>1002</v>
      </c>
      <c r="J2042" s="253" t="s">
        <v>1962</v>
      </c>
      <c r="K2042" s="253" t="s">
        <v>988</v>
      </c>
      <c r="L2042" s="254" t="s">
        <v>977</v>
      </c>
      <c r="M2042" s="266">
        <v>4263.04</v>
      </c>
      <c r="N2042" s="256">
        <f t="shared" si="455"/>
        <v>4263.04</v>
      </c>
      <c r="O2042" s="267">
        <v>4263.04</v>
      </c>
      <c r="P2042" s="72">
        <v>7470</v>
      </c>
      <c r="Q2042" s="256">
        <f t="shared" si="463"/>
        <v>1643.4</v>
      </c>
      <c r="R2042" s="256">
        <f t="shared" si="464"/>
        <v>9113.4</v>
      </c>
      <c r="S2042" s="290"/>
      <c r="T2042" s="254">
        <v>125</v>
      </c>
      <c r="U2042" s="293"/>
    </row>
    <row r="2043" spans="1:21" ht="20.5" customHeight="1" x14ac:dyDescent="0.35">
      <c r="A2043" s="239" t="s">
        <v>4566</v>
      </c>
      <c r="B2043" s="3">
        <v>1906</v>
      </c>
      <c r="C2043" s="258">
        <v>102018880</v>
      </c>
      <c r="D2043" s="263" t="s">
        <v>4380</v>
      </c>
      <c r="E2043" s="248" t="s">
        <v>2230</v>
      </c>
      <c r="F2043" s="259">
        <v>263</v>
      </c>
      <c r="G2043" s="254" t="s">
        <v>0</v>
      </c>
      <c r="H2043" s="265">
        <v>43097</v>
      </c>
      <c r="I2043" s="251" t="s">
        <v>1002</v>
      </c>
      <c r="J2043" s="253" t="s">
        <v>1962</v>
      </c>
      <c r="K2043" s="253" t="s">
        <v>988</v>
      </c>
      <c r="L2043" s="254" t="s">
        <v>977</v>
      </c>
      <c r="M2043" s="266">
        <v>27630.78</v>
      </c>
      <c r="N2043" s="256">
        <f t="shared" si="455"/>
        <v>105.06</v>
      </c>
      <c r="O2043" s="267">
        <v>27630.78</v>
      </c>
      <c r="P2043" s="72">
        <v>48390</v>
      </c>
      <c r="Q2043" s="256">
        <f t="shared" si="463"/>
        <v>10645.8</v>
      </c>
      <c r="R2043" s="256">
        <f t="shared" si="464"/>
        <v>59035.8</v>
      </c>
      <c r="S2043" s="290"/>
      <c r="T2043" s="254">
        <v>125</v>
      </c>
      <c r="U2043" s="293"/>
    </row>
    <row r="2044" spans="1:21" ht="20.5" customHeight="1" x14ac:dyDescent="0.35">
      <c r="A2044" s="239" t="s">
        <v>4567</v>
      </c>
      <c r="B2044" s="3">
        <v>1907</v>
      </c>
      <c r="C2044" s="258">
        <v>102018879</v>
      </c>
      <c r="D2044" s="263" t="s">
        <v>4381</v>
      </c>
      <c r="E2044" s="248" t="s">
        <v>2230</v>
      </c>
      <c r="F2044" s="259">
        <v>345</v>
      </c>
      <c r="G2044" s="254" t="s">
        <v>0</v>
      </c>
      <c r="H2044" s="265">
        <v>43097</v>
      </c>
      <c r="I2044" s="251" t="s">
        <v>1002</v>
      </c>
      <c r="J2044" s="253" t="s">
        <v>1962</v>
      </c>
      <c r="K2044" s="253" t="s">
        <v>988</v>
      </c>
      <c r="L2044" s="254" t="s">
        <v>977</v>
      </c>
      <c r="M2044" s="266">
        <v>148263.75</v>
      </c>
      <c r="N2044" s="256">
        <f t="shared" si="455"/>
        <v>429.75</v>
      </c>
      <c r="O2044" s="267">
        <v>148263.75</v>
      </c>
      <c r="P2044" s="72">
        <v>259680</v>
      </c>
      <c r="Q2044" s="256">
        <f t="shared" si="463"/>
        <v>57129.599999999999</v>
      </c>
      <c r="R2044" s="256">
        <f t="shared" si="464"/>
        <v>316809.59999999998</v>
      </c>
      <c r="S2044" s="290"/>
      <c r="T2044" s="254">
        <v>125</v>
      </c>
      <c r="U2044" s="293"/>
    </row>
    <row r="2045" spans="1:21" ht="20.5" customHeight="1" x14ac:dyDescent="0.35">
      <c r="A2045" s="239" t="s">
        <v>4568</v>
      </c>
      <c r="B2045" s="3">
        <v>1908</v>
      </c>
      <c r="C2045" s="258">
        <v>102012852</v>
      </c>
      <c r="D2045" s="263" t="s">
        <v>4229</v>
      </c>
      <c r="E2045" s="248" t="s">
        <v>2230</v>
      </c>
      <c r="F2045" s="259">
        <v>1</v>
      </c>
      <c r="G2045" s="254" t="s">
        <v>0</v>
      </c>
      <c r="H2045" s="265">
        <v>43097</v>
      </c>
      <c r="I2045" s="251" t="s">
        <v>1002</v>
      </c>
      <c r="J2045" s="253" t="s">
        <v>1962</v>
      </c>
      <c r="K2045" s="253" t="s">
        <v>988</v>
      </c>
      <c r="L2045" s="254" t="s">
        <v>977</v>
      </c>
      <c r="M2045" s="266">
        <v>133497.16</v>
      </c>
      <c r="N2045" s="256">
        <f t="shared" si="455"/>
        <v>133497.16</v>
      </c>
      <c r="O2045" s="267">
        <v>133497.16</v>
      </c>
      <c r="P2045" s="72">
        <v>233820</v>
      </c>
      <c r="Q2045" s="256">
        <f t="shared" si="463"/>
        <v>51440.4</v>
      </c>
      <c r="R2045" s="256">
        <f t="shared" si="464"/>
        <v>285260.40000000002</v>
      </c>
      <c r="S2045" s="290"/>
      <c r="T2045" s="254">
        <v>125</v>
      </c>
      <c r="U2045" s="293"/>
    </row>
    <row r="2046" spans="1:21" ht="20.5" customHeight="1" x14ac:dyDescent="0.35">
      <c r="A2046" s="239" t="s">
        <v>4569</v>
      </c>
      <c r="B2046" s="3">
        <v>1909</v>
      </c>
      <c r="C2046" s="258">
        <v>102011804</v>
      </c>
      <c r="D2046" s="263" t="s">
        <v>4422</v>
      </c>
      <c r="E2046" s="248" t="s">
        <v>2230</v>
      </c>
      <c r="F2046" s="259">
        <v>4</v>
      </c>
      <c r="G2046" s="254" t="s">
        <v>0</v>
      </c>
      <c r="H2046" s="265">
        <v>43097</v>
      </c>
      <c r="I2046" s="251" t="s">
        <v>1002</v>
      </c>
      <c r="J2046" s="253" t="s">
        <v>1962</v>
      </c>
      <c r="K2046" s="253" t="s">
        <v>988</v>
      </c>
      <c r="L2046" s="254" t="s">
        <v>977</v>
      </c>
      <c r="M2046" s="266">
        <v>22330.52</v>
      </c>
      <c r="N2046" s="256">
        <f t="shared" si="455"/>
        <v>5582.63</v>
      </c>
      <c r="O2046" s="267">
        <v>22330.52</v>
      </c>
      <c r="P2046" s="72">
        <v>39110</v>
      </c>
      <c r="Q2046" s="256">
        <f t="shared" si="463"/>
        <v>8604.2000000000007</v>
      </c>
      <c r="R2046" s="256">
        <f t="shared" si="464"/>
        <v>47714.2</v>
      </c>
      <c r="S2046" s="290"/>
      <c r="T2046" s="254">
        <v>125</v>
      </c>
      <c r="U2046" s="293"/>
    </row>
    <row r="2047" spans="1:21" ht="20.5" customHeight="1" x14ac:dyDescent="0.35">
      <c r="A2047" s="239" t="s">
        <v>4570</v>
      </c>
      <c r="B2047" s="3">
        <v>1910</v>
      </c>
      <c r="C2047" s="258">
        <v>102011755</v>
      </c>
      <c r="D2047" s="263" t="s">
        <v>4418</v>
      </c>
      <c r="E2047" s="248" t="s">
        <v>2230</v>
      </c>
      <c r="F2047" s="259">
        <v>1</v>
      </c>
      <c r="G2047" s="254" t="s">
        <v>0</v>
      </c>
      <c r="H2047" s="265">
        <v>43097</v>
      </c>
      <c r="I2047" s="251" t="s">
        <v>1002</v>
      </c>
      <c r="J2047" s="253" t="s">
        <v>1962</v>
      </c>
      <c r="K2047" s="253" t="s">
        <v>988</v>
      </c>
      <c r="L2047" s="254" t="s">
        <v>977</v>
      </c>
      <c r="M2047" s="266">
        <v>40609.11</v>
      </c>
      <c r="N2047" s="256">
        <f t="shared" si="455"/>
        <v>40609.11</v>
      </c>
      <c r="O2047" s="267">
        <v>40609.11</v>
      </c>
      <c r="P2047" s="72">
        <v>71130</v>
      </c>
      <c r="Q2047" s="256">
        <f t="shared" si="463"/>
        <v>15648.6</v>
      </c>
      <c r="R2047" s="256">
        <f t="shared" si="464"/>
        <v>86778.6</v>
      </c>
      <c r="S2047" s="290"/>
      <c r="T2047" s="254">
        <v>125</v>
      </c>
      <c r="U2047" s="293"/>
    </row>
    <row r="2048" spans="1:21" ht="20.5" customHeight="1" x14ac:dyDescent="0.35">
      <c r="A2048" s="239" t="s">
        <v>4571</v>
      </c>
      <c r="B2048" s="3">
        <v>1911</v>
      </c>
      <c r="C2048" s="258">
        <v>102022183</v>
      </c>
      <c r="D2048" s="263" t="s">
        <v>4423</v>
      </c>
      <c r="E2048" s="248" t="s">
        <v>2230</v>
      </c>
      <c r="F2048" s="259">
        <v>1</v>
      </c>
      <c r="G2048" s="254" t="s">
        <v>0</v>
      </c>
      <c r="H2048" s="265">
        <v>43097</v>
      </c>
      <c r="I2048" s="251" t="s">
        <v>1002</v>
      </c>
      <c r="J2048" s="253" t="s">
        <v>1962</v>
      </c>
      <c r="K2048" s="253" t="s">
        <v>988</v>
      </c>
      <c r="L2048" s="254" t="s">
        <v>977</v>
      </c>
      <c r="M2048" s="266">
        <v>81151.350000000006</v>
      </c>
      <c r="N2048" s="256">
        <f t="shared" si="455"/>
        <v>81151.350000000006</v>
      </c>
      <c r="O2048" s="267">
        <v>81151.350000000006</v>
      </c>
      <c r="P2048" s="72">
        <v>142130</v>
      </c>
      <c r="Q2048" s="256">
        <f t="shared" si="463"/>
        <v>31268.6</v>
      </c>
      <c r="R2048" s="256">
        <f t="shared" si="464"/>
        <v>173398.6</v>
      </c>
      <c r="S2048" s="290"/>
      <c r="T2048" s="254">
        <v>125</v>
      </c>
      <c r="U2048" s="293"/>
    </row>
    <row r="2049" spans="1:21" ht="20.5" customHeight="1" x14ac:dyDescent="0.35">
      <c r="A2049" s="239" t="s">
        <v>4572</v>
      </c>
      <c r="B2049" s="3">
        <v>1912</v>
      </c>
      <c r="C2049" s="258">
        <v>102022184</v>
      </c>
      <c r="D2049" s="263" t="s">
        <v>4424</v>
      </c>
      <c r="E2049" s="248" t="s">
        <v>2230</v>
      </c>
      <c r="F2049" s="259">
        <v>1</v>
      </c>
      <c r="G2049" s="254" t="s">
        <v>0</v>
      </c>
      <c r="H2049" s="265">
        <v>43097</v>
      </c>
      <c r="I2049" s="251" t="s">
        <v>1002</v>
      </c>
      <c r="J2049" s="253" t="s">
        <v>1962</v>
      </c>
      <c r="K2049" s="253" t="s">
        <v>988</v>
      </c>
      <c r="L2049" s="254" t="s">
        <v>977</v>
      </c>
      <c r="M2049" s="266">
        <v>62435.31</v>
      </c>
      <c r="N2049" s="256">
        <f t="shared" si="455"/>
        <v>62435.31</v>
      </c>
      <c r="O2049" s="267">
        <v>62435.31</v>
      </c>
      <c r="P2049" s="72">
        <v>109350</v>
      </c>
      <c r="Q2049" s="256">
        <f t="shared" si="463"/>
        <v>24057</v>
      </c>
      <c r="R2049" s="256">
        <f t="shared" si="464"/>
        <v>133407</v>
      </c>
      <c r="S2049" s="290"/>
      <c r="T2049" s="254">
        <v>125</v>
      </c>
      <c r="U2049" s="293"/>
    </row>
    <row r="2050" spans="1:21" ht="20.5" customHeight="1" x14ac:dyDescent="0.35">
      <c r="A2050" s="239" t="s">
        <v>4573</v>
      </c>
      <c r="B2050" s="3">
        <v>1913</v>
      </c>
      <c r="C2050" s="258">
        <v>102022186</v>
      </c>
      <c r="D2050" s="263" t="s">
        <v>4425</v>
      </c>
      <c r="E2050" s="248" t="s">
        <v>2230</v>
      </c>
      <c r="F2050" s="259">
        <v>1</v>
      </c>
      <c r="G2050" s="254" t="s">
        <v>0</v>
      </c>
      <c r="H2050" s="265">
        <v>43097</v>
      </c>
      <c r="I2050" s="251" t="s">
        <v>1002</v>
      </c>
      <c r="J2050" s="253" t="s">
        <v>1962</v>
      </c>
      <c r="K2050" s="253" t="s">
        <v>988</v>
      </c>
      <c r="L2050" s="254" t="s">
        <v>977</v>
      </c>
      <c r="M2050" s="266">
        <v>50567.68</v>
      </c>
      <c r="N2050" s="256">
        <f t="shared" si="455"/>
        <v>50567.68</v>
      </c>
      <c r="O2050" s="267">
        <v>50567.68</v>
      </c>
      <c r="P2050" s="72">
        <v>88570</v>
      </c>
      <c r="Q2050" s="256">
        <f t="shared" si="463"/>
        <v>19485.400000000001</v>
      </c>
      <c r="R2050" s="256">
        <f t="shared" si="464"/>
        <v>108055.4</v>
      </c>
      <c r="S2050" s="290"/>
      <c r="T2050" s="254">
        <v>125</v>
      </c>
      <c r="U2050" s="293"/>
    </row>
    <row r="2051" spans="1:21" ht="20.5" customHeight="1" x14ac:dyDescent="0.35">
      <c r="A2051" s="239" t="s">
        <v>4574</v>
      </c>
      <c r="B2051" s="3">
        <v>1914</v>
      </c>
      <c r="C2051" s="258">
        <v>102022185</v>
      </c>
      <c r="D2051" s="263" t="s">
        <v>4426</v>
      </c>
      <c r="E2051" s="248" t="s">
        <v>2230</v>
      </c>
      <c r="F2051" s="259">
        <v>1</v>
      </c>
      <c r="G2051" s="254" t="s">
        <v>0</v>
      </c>
      <c r="H2051" s="265">
        <v>43097</v>
      </c>
      <c r="I2051" s="251" t="s">
        <v>1002</v>
      </c>
      <c r="J2051" s="253" t="s">
        <v>1962</v>
      </c>
      <c r="K2051" s="253" t="s">
        <v>988</v>
      </c>
      <c r="L2051" s="254" t="s">
        <v>977</v>
      </c>
      <c r="M2051" s="266">
        <v>75764.09</v>
      </c>
      <c r="N2051" s="256">
        <f t="shared" si="455"/>
        <v>75764.09</v>
      </c>
      <c r="O2051" s="269">
        <v>75764.09</v>
      </c>
      <c r="P2051" s="72">
        <v>132700</v>
      </c>
      <c r="Q2051" s="256">
        <f t="shared" si="463"/>
        <v>29194</v>
      </c>
      <c r="R2051" s="256">
        <f t="shared" si="464"/>
        <v>161894</v>
      </c>
      <c r="S2051" s="291"/>
      <c r="T2051" s="254">
        <v>125</v>
      </c>
      <c r="U2051" s="293"/>
    </row>
    <row r="2052" spans="1:21" ht="20.5" customHeight="1" x14ac:dyDescent="0.35">
      <c r="A2052" s="239"/>
      <c r="B2052" s="94"/>
      <c r="C2052" s="258"/>
      <c r="D2052" s="263"/>
      <c r="E2052" s="248"/>
      <c r="F2052" s="259"/>
      <c r="G2052" s="254"/>
      <c r="H2052" s="265"/>
      <c r="I2052" s="251"/>
      <c r="J2052" s="253"/>
      <c r="K2052" s="253"/>
      <c r="L2052" s="254"/>
      <c r="M2052" s="266"/>
      <c r="N2052" s="256"/>
      <c r="O2052" s="268">
        <f>SUM(O2041:O2051)</f>
        <v>814363.95</v>
      </c>
      <c r="P2052" s="276">
        <f t="shared" ref="P2052:Q2052" si="465">SUM(P2041:P2051)</f>
        <v>1426340</v>
      </c>
      <c r="Q2052" s="282">
        <f t="shared" si="465"/>
        <v>313794.8</v>
      </c>
      <c r="R2052" s="282">
        <f>SUM(R2041:R2051)</f>
        <v>1740134.8</v>
      </c>
      <c r="S2052" s="286">
        <f>R2052/100*10</f>
        <v>174013.48</v>
      </c>
      <c r="T2052" s="273">
        <v>125</v>
      </c>
      <c r="U2052" s="293"/>
    </row>
    <row r="2053" spans="1:21" ht="20.5" customHeight="1" x14ac:dyDescent="0.35">
      <c r="A2053" s="242" t="s">
        <v>4580</v>
      </c>
      <c r="B2053" s="3">
        <v>1915</v>
      </c>
      <c r="C2053" s="258">
        <v>10026541</v>
      </c>
      <c r="D2053" s="248" t="s">
        <v>4280</v>
      </c>
      <c r="E2053" s="248" t="s">
        <v>2219</v>
      </c>
      <c r="F2053" s="259">
        <v>1</v>
      </c>
      <c r="G2053" s="254" t="s">
        <v>0</v>
      </c>
      <c r="H2053" s="261">
        <v>42004</v>
      </c>
      <c r="I2053" s="254" t="s">
        <v>984</v>
      </c>
      <c r="J2053" s="253" t="s">
        <v>1962</v>
      </c>
      <c r="K2053" s="254" t="s">
        <v>988</v>
      </c>
      <c r="L2053" s="254" t="s">
        <v>4577</v>
      </c>
      <c r="M2053" s="262">
        <v>13900</v>
      </c>
      <c r="N2053" s="256">
        <v>13900</v>
      </c>
      <c r="O2053" s="262">
        <v>13900</v>
      </c>
      <c r="P2053" s="72">
        <v>22530</v>
      </c>
      <c r="Q2053" s="256">
        <f t="shared" ref="Q2053:Q2066" si="466">R2053-P2053</f>
        <v>4956.6000000000004</v>
      </c>
      <c r="R2053" s="256">
        <f t="shared" ref="R2053:R2066" si="467">P2053*1.22</f>
        <v>27486.6</v>
      </c>
      <c r="S2053" s="289"/>
      <c r="T2053" s="254">
        <v>126</v>
      </c>
      <c r="U2053" s="292" t="s">
        <v>4578</v>
      </c>
    </row>
    <row r="2054" spans="1:21" ht="20.5" customHeight="1" x14ac:dyDescent="0.35">
      <c r="A2054" s="242" t="s">
        <v>4581</v>
      </c>
      <c r="B2054" s="3">
        <v>1916</v>
      </c>
      <c r="C2054" s="258">
        <v>10023767</v>
      </c>
      <c r="D2054" s="248" t="s">
        <v>4281</v>
      </c>
      <c r="E2054" s="270" t="s">
        <v>4312</v>
      </c>
      <c r="F2054" s="259">
        <v>11</v>
      </c>
      <c r="G2054" s="254" t="s">
        <v>8</v>
      </c>
      <c r="H2054" s="261">
        <v>42004</v>
      </c>
      <c r="I2054" s="254" t="s">
        <v>984</v>
      </c>
      <c r="J2054" s="253" t="s">
        <v>1962</v>
      </c>
      <c r="K2054" s="254" t="s">
        <v>988</v>
      </c>
      <c r="L2054" s="254" t="s">
        <v>4577</v>
      </c>
      <c r="M2054" s="262">
        <v>517.77</v>
      </c>
      <c r="N2054" s="256">
        <v>47.07</v>
      </c>
      <c r="O2054" s="262">
        <v>517.77</v>
      </c>
      <c r="P2054" s="72">
        <v>840</v>
      </c>
      <c r="Q2054" s="256">
        <f t="shared" si="466"/>
        <v>184.8</v>
      </c>
      <c r="R2054" s="256">
        <f t="shared" si="467"/>
        <v>1024.8</v>
      </c>
      <c r="S2054" s="290"/>
      <c r="T2054" s="254">
        <v>126</v>
      </c>
      <c r="U2054" s="293"/>
    </row>
    <row r="2055" spans="1:21" ht="20.5" customHeight="1" x14ac:dyDescent="0.35">
      <c r="A2055" s="242" t="s">
        <v>4582</v>
      </c>
      <c r="B2055" s="3">
        <v>1917</v>
      </c>
      <c r="C2055" s="258">
        <v>10029115</v>
      </c>
      <c r="D2055" s="248" t="s">
        <v>4282</v>
      </c>
      <c r="E2055" s="248" t="s">
        <v>2219</v>
      </c>
      <c r="F2055" s="259">
        <v>137</v>
      </c>
      <c r="G2055" s="254" t="s">
        <v>0</v>
      </c>
      <c r="H2055" s="261">
        <v>42891</v>
      </c>
      <c r="I2055" s="254" t="s">
        <v>984</v>
      </c>
      <c r="J2055" s="253" t="s">
        <v>1962</v>
      </c>
      <c r="K2055" s="254" t="s">
        <v>988</v>
      </c>
      <c r="L2055" s="254" t="s">
        <v>4577</v>
      </c>
      <c r="M2055" s="262">
        <v>2781.1</v>
      </c>
      <c r="N2055" s="256">
        <v>20.3</v>
      </c>
      <c r="O2055" s="262">
        <v>2781.1</v>
      </c>
      <c r="P2055" s="72">
        <v>3760</v>
      </c>
      <c r="Q2055" s="256">
        <f t="shared" si="466"/>
        <v>827.2</v>
      </c>
      <c r="R2055" s="256">
        <f t="shared" si="467"/>
        <v>4587.2</v>
      </c>
      <c r="S2055" s="290"/>
      <c r="T2055" s="254">
        <v>126</v>
      </c>
      <c r="U2055" s="293"/>
    </row>
    <row r="2056" spans="1:21" ht="20.5" customHeight="1" x14ac:dyDescent="0.35">
      <c r="A2056" s="242" t="s">
        <v>4583</v>
      </c>
      <c r="B2056" s="3">
        <v>1918</v>
      </c>
      <c r="C2056" s="258">
        <v>10029070</v>
      </c>
      <c r="D2056" s="248" t="s">
        <v>4283</v>
      </c>
      <c r="E2056" s="248" t="s">
        <v>2219</v>
      </c>
      <c r="F2056" s="259">
        <v>99</v>
      </c>
      <c r="G2056" s="254" t="s">
        <v>0</v>
      </c>
      <c r="H2056" s="261">
        <v>42004</v>
      </c>
      <c r="I2056" s="254" t="s">
        <v>984</v>
      </c>
      <c r="J2056" s="253" t="s">
        <v>1962</v>
      </c>
      <c r="K2056" s="254" t="s">
        <v>988</v>
      </c>
      <c r="L2056" s="254" t="s">
        <v>4577</v>
      </c>
      <c r="M2056" s="262">
        <v>2403.7199999999998</v>
      </c>
      <c r="N2056" s="256">
        <v>24.28</v>
      </c>
      <c r="O2056" s="262">
        <v>2403.7199999999998</v>
      </c>
      <c r="P2056" s="72">
        <v>3900</v>
      </c>
      <c r="Q2056" s="256">
        <f t="shared" si="466"/>
        <v>858</v>
      </c>
      <c r="R2056" s="256">
        <f t="shared" si="467"/>
        <v>4758</v>
      </c>
      <c r="S2056" s="290"/>
      <c r="T2056" s="254">
        <v>126</v>
      </c>
      <c r="U2056" s="293"/>
    </row>
    <row r="2057" spans="1:21" ht="20.5" customHeight="1" x14ac:dyDescent="0.35">
      <c r="A2057" s="242" t="s">
        <v>4584</v>
      </c>
      <c r="B2057" s="3">
        <v>1919</v>
      </c>
      <c r="C2057" s="258">
        <v>10024843</v>
      </c>
      <c r="D2057" s="248" t="s">
        <v>4284</v>
      </c>
      <c r="E2057" s="248" t="s">
        <v>2219</v>
      </c>
      <c r="F2057" s="259">
        <v>1</v>
      </c>
      <c r="G2057" s="254" t="s">
        <v>0</v>
      </c>
      <c r="H2057" s="261">
        <v>42004</v>
      </c>
      <c r="I2057" s="254" t="s">
        <v>984</v>
      </c>
      <c r="J2057" s="253" t="s">
        <v>1962</v>
      </c>
      <c r="K2057" s="254" t="s">
        <v>988</v>
      </c>
      <c r="L2057" s="254" t="s">
        <v>4577</v>
      </c>
      <c r="M2057" s="262">
        <v>30491.9</v>
      </c>
      <c r="N2057" s="262">
        <v>30491.9</v>
      </c>
      <c r="O2057" s="262">
        <v>30491.9</v>
      </c>
      <c r="P2057" s="72">
        <v>49430</v>
      </c>
      <c r="Q2057" s="256">
        <f t="shared" si="466"/>
        <v>10874.6</v>
      </c>
      <c r="R2057" s="256">
        <f t="shared" si="467"/>
        <v>60304.6</v>
      </c>
      <c r="S2057" s="290"/>
      <c r="T2057" s="254">
        <v>126</v>
      </c>
      <c r="U2057" s="293"/>
    </row>
    <row r="2058" spans="1:21" ht="20.5" customHeight="1" x14ac:dyDescent="0.35">
      <c r="A2058" s="242" t="s">
        <v>4585</v>
      </c>
      <c r="B2058" s="3">
        <v>1920</v>
      </c>
      <c r="C2058" s="258">
        <v>10105129</v>
      </c>
      <c r="D2058" s="248" t="s">
        <v>4285</v>
      </c>
      <c r="E2058" s="270" t="s">
        <v>4312</v>
      </c>
      <c r="F2058" s="259">
        <v>0.8</v>
      </c>
      <c r="G2058" s="254" t="s">
        <v>8</v>
      </c>
      <c r="H2058" s="261">
        <v>42004</v>
      </c>
      <c r="I2058" s="254" t="s">
        <v>984</v>
      </c>
      <c r="J2058" s="253" t="s">
        <v>1962</v>
      </c>
      <c r="K2058" s="254" t="s">
        <v>988</v>
      </c>
      <c r="L2058" s="254" t="s">
        <v>4577</v>
      </c>
      <c r="M2058" s="262">
        <v>58.98</v>
      </c>
      <c r="N2058" s="256">
        <f>M2058/F2058</f>
        <v>73.73</v>
      </c>
      <c r="O2058" s="262">
        <v>54.98</v>
      </c>
      <c r="P2058" s="72">
        <v>90</v>
      </c>
      <c r="Q2058" s="256">
        <f t="shared" si="466"/>
        <v>19.8</v>
      </c>
      <c r="R2058" s="256">
        <f t="shared" si="467"/>
        <v>109.8</v>
      </c>
      <c r="S2058" s="290"/>
      <c r="T2058" s="254">
        <v>126</v>
      </c>
      <c r="U2058" s="293"/>
    </row>
    <row r="2059" spans="1:21" ht="20.5" customHeight="1" x14ac:dyDescent="0.35">
      <c r="A2059" s="242" t="s">
        <v>4586</v>
      </c>
      <c r="B2059" s="3">
        <v>1921</v>
      </c>
      <c r="C2059" s="258">
        <v>10099610</v>
      </c>
      <c r="D2059" s="248" t="s">
        <v>4286</v>
      </c>
      <c r="E2059" s="248" t="s">
        <v>2219</v>
      </c>
      <c r="F2059" s="259">
        <v>1</v>
      </c>
      <c r="G2059" s="254" t="s">
        <v>0</v>
      </c>
      <c r="H2059" s="261">
        <v>42004</v>
      </c>
      <c r="I2059" s="254" t="s">
        <v>984</v>
      </c>
      <c r="J2059" s="253" t="s">
        <v>1962</v>
      </c>
      <c r="K2059" s="254" t="s">
        <v>988</v>
      </c>
      <c r="L2059" s="254" t="s">
        <v>4577</v>
      </c>
      <c r="M2059" s="262">
        <v>11731.16</v>
      </c>
      <c r="N2059" s="262">
        <v>11731.16</v>
      </c>
      <c r="O2059" s="262">
        <v>11731.16</v>
      </c>
      <c r="P2059" s="72">
        <v>19020</v>
      </c>
      <c r="Q2059" s="256">
        <f t="shared" si="466"/>
        <v>4184.3999999999996</v>
      </c>
      <c r="R2059" s="256">
        <f t="shared" si="467"/>
        <v>23204.400000000001</v>
      </c>
      <c r="S2059" s="290"/>
      <c r="T2059" s="254">
        <v>126</v>
      </c>
      <c r="U2059" s="293"/>
    </row>
    <row r="2060" spans="1:21" ht="20.5" customHeight="1" x14ac:dyDescent="0.35">
      <c r="A2060" s="242" t="s">
        <v>4587</v>
      </c>
      <c r="B2060" s="3">
        <v>1922</v>
      </c>
      <c r="C2060" s="258">
        <v>10006260</v>
      </c>
      <c r="D2060" s="248" t="s">
        <v>4287</v>
      </c>
      <c r="E2060" s="248" t="s">
        <v>2219</v>
      </c>
      <c r="F2060" s="259">
        <v>187</v>
      </c>
      <c r="G2060" s="254" t="s">
        <v>0</v>
      </c>
      <c r="H2060" s="261">
        <v>42004</v>
      </c>
      <c r="I2060" s="254" t="s">
        <v>984</v>
      </c>
      <c r="J2060" s="253" t="s">
        <v>1962</v>
      </c>
      <c r="K2060" s="254" t="s">
        <v>988</v>
      </c>
      <c r="L2060" s="254" t="s">
        <v>4577</v>
      </c>
      <c r="M2060" s="262">
        <v>5224.78</v>
      </c>
      <c r="N2060" s="256">
        <v>27.94</v>
      </c>
      <c r="O2060" s="262">
        <v>5224.78</v>
      </c>
      <c r="P2060" s="72">
        <v>8470</v>
      </c>
      <c r="Q2060" s="256">
        <f t="shared" si="466"/>
        <v>1863.4</v>
      </c>
      <c r="R2060" s="256">
        <f t="shared" si="467"/>
        <v>10333.4</v>
      </c>
      <c r="S2060" s="290"/>
      <c r="T2060" s="254">
        <v>126</v>
      </c>
      <c r="U2060" s="293"/>
    </row>
    <row r="2061" spans="1:21" ht="20.5" customHeight="1" x14ac:dyDescent="0.35">
      <c r="A2061" s="242" t="s">
        <v>4588</v>
      </c>
      <c r="B2061" s="3">
        <v>1923</v>
      </c>
      <c r="C2061" s="258">
        <v>10001345</v>
      </c>
      <c r="D2061" s="248" t="s">
        <v>4288</v>
      </c>
      <c r="E2061" s="248" t="s">
        <v>2219</v>
      </c>
      <c r="F2061" s="259">
        <v>993</v>
      </c>
      <c r="G2061" s="254" t="s">
        <v>0</v>
      </c>
      <c r="H2061" s="261">
        <v>42919</v>
      </c>
      <c r="I2061" s="254" t="s">
        <v>984</v>
      </c>
      <c r="J2061" s="253" t="s">
        <v>1962</v>
      </c>
      <c r="K2061" s="254" t="s">
        <v>988</v>
      </c>
      <c r="L2061" s="254" t="s">
        <v>4577</v>
      </c>
      <c r="M2061" s="262">
        <v>47791.3</v>
      </c>
      <c r="N2061" s="256">
        <v>48.13</v>
      </c>
      <c r="O2061" s="262">
        <v>47791.3</v>
      </c>
      <c r="P2061" s="72">
        <v>64300</v>
      </c>
      <c r="Q2061" s="256">
        <f t="shared" si="466"/>
        <v>14146</v>
      </c>
      <c r="R2061" s="256">
        <f t="shared" si="467"/>
        <v>78446</v>
      </c>
      <c r="S2061" s="290"/>
      <c r="T2061" s="254">
        <v>126</v>
      </c>
      <c r="U2061" s="293"/>
    </row>
    <row r="2062" spans="1:21" ht="20.5" customHeight="1" x14ac:dyDescent="0.35">
      <c r="A2062" s="242" t="s">
        <v>4589</v>
      </c>
      <c r="B2062" s="3">
        <v>1924</v>
      </c>
      <c r="C2062" s="258">
        <v>10027090</v>
      </c>
      <c r="D2062" s="248" t="s">
        <v>4289</v>
      </c>
      <c r="E2062" s="248" t="s">
        <v>2219</v>
      </c>
      <c r="F2062" s="259">
        <v>1</v>
      </c>
      <c r="G2062" s="254" t="s">
        <v>0</v>
      </c>
      <c r="H2062" s="261">
        <v>43433</v>
      </c>
      <c r="I2062" s="254" t="s">
        <v>984</v>
      </c>
      <c r="J2062" s="253" t="s">
        <v>1962</v>
      </c>
      <c r="K2062" s="254" t="s">
        <v>988</v>
      </c>
      <c r="L2062" s="254" t="s">
        <v>4577</v>
      </c>
      <c r="M2062" s="262">
        <v>187215.65</v>
      </c>
      <c r="N2062" s="262">
        <v>187215.65</v>
      </c>
      <c r="O2062" s="262">
        <v>187215.65</v>
      </c>
      <c r="P2062" s="72">
        <v>237980</v>
      </c>
      <c r="Q2062" s="256">
        <f t="shared" si="466"/>
        <v>52355.6</v>
      </c>
      <c r="R2062" s="256">
        <f t="shared" si="467"/>
        <v>290335.59999999998</v>
      </c>
      <c r="S2062" s="290"/>
      <c r="T2062" s="254">
        <v>126</v>
      </c>
      <c r="U2062" s="293"/>
    </row>
    <row r="2063" spans="1:21" ht="20.5" customHeight="1" x14ac:dyDescent="0.35">
      <c r="A2063" s="242" t="s">
        <v>4590</v>
      </c>
      <c r="B2063" s="3">
        <v>1925</v>
      </c>
      <c r="C2063" s="258">
        <v>10011592</v>
      </c>
      <c r="D2063" s="248" t="s">
        <v>4290</v>
      </c>
      <c r="E2063" s="248" t="s">
        <v>2219</v>
      </c>
      <c r="F2063" s="259">
        <v>28</v>
      </c>
      <c r="G2063" s="254" t="s">
        <v>0</v>
      </c>
      <c r="H2063" s="261">
        <v>42004</v>
      </c>
      <c r="I2063" s="254" t="s">
        <v>984</v>
      </c>
      <c r="J2063" s="253" t="s">
        <v>1962</v>
      </c>
      <c r="K2063" s="254" t="s">
        <v>988</v>
      </c>
      <c r="L2063" s="254" t="s">
        <v>4577</v>
      </c>
      <c r="M2063" s="262">
        <v>43525.03</v>
      </c>
      <c r="N2063" s="256">
        <v>1554.47</v>
      </c>
      <c r="O2063" s="262">
        <v>43525.03</v>
      </c>
      <c r="P2063" s="72">
        <v>70560</v>
      </c>
      <c r="Q2063" s="256">
        <f t="shared" si="466"/>
        <v>15523.2</v>
      </c>
      <c r="R2063" s="256">
        <f t="shared" si="467"/>
        <v>86083.199999999997</v>
      </c>
      <c r="S2063" s="290"/>
      <c r="T2063" s="254">
        <v>126</v>
      </c>
      <c r="U2063" s="293"/>
    </row>
    <row r="2064" spans="1:21" ht="20.5" customHeight="1" x14ac:dyDescent="0.35">
      <c r="A2064" s="242" t="s">
        <v>4591</v>
      </c>
      <c r="B2064" s="3">
        <v>1926</v>
      </c>
      <c r="C2064" s="258">
        <v>10116794</v>
      </c>
      <c r="D2064" s="248" t="s">
        <v>4291</v>
      </c>
      <c r="E2064" s="248" t="s">
        <v>2219</v>
      </c>
      <c r="F2064" s="259">
        <v>2</v>
      </c>
      <c r="G2064" s="254" t="s">
        <v>0</v>
      </c>
      <c r="H2064" s="261">
        <v>43396</v>
      </c>
      <c r="I2064" s="254" t="s">
        <v>984</v>
      </c>
      <c r="J2064" s="253" t="s">
        <v>1962</v>
      </c>
      <c r="K2064" s="254" t="s">
        <v>988</v>
      </c>
      <c r="L2064" s="254" t="s">
        <v>4577</v>
      </c>
      <c r="M2064" s="262">
        <v>112</v>
      </c>
      <c r="N2064" s="256">
        <v>56</v>
      </c>
      <c r="O2064" s="262">
        <v>112</v>
      </c>
      <c r="P2064" s="72">
        <v>140</v>
      </c>
      <c r="Q2064" s="256">
        <f t="shared" si="466"/>
        <v>30.8</v>
      </c>
      <c r="R2064" s="256">
        <f t="shared" si="467"/>
        <v>170.8</v>
      </c>
      <c r="S2064" s="290"/>
      <c r="T2064" s="254">
        <v>126</v>
      </c>
      <c r="U2064" s="293"/>
    </row>
    <row r="2065" spans="1:21" ht="20.5" customHeight="1" x14ac:dyDescent="0.35">
      <c r="A2065" s="242" t="s">
        <v>4592</v>
      </c>
      <c r="B2065" s="3">
        <v>1927</v>
      </c>
      <c r="C2065" s="258">
        <v>10001034</v>
      </c>
      <c r="D2065" s="248" t="s">
        <v>4292</v>
      </c>
      <c r="E2065" s="248" t="s">
        <v>2219</v>
      </c>
      <c r="F2065" s="259">
        <v>112</v>
      </c>
      <c r="G2065" s="254" t="s">
        <v>0</v>
      </c>
      <c r="H2065" s="261">
        <v>42948</v>
      </c>
      <c r="I2065" s="254" t="s">
        <v>984</v>
      </c>
      <c r="J2065" s="253" t="s">
        <v>1962</v>
      </c>
      <c r="K2065" s="254" t="s">
        <v>988</v>
      </c>
      <c r="L2065" s="254" t="s">
        <v>4577</v>
      </c>
      <c r="M2065" s="262">
        <v>6473.6</v>
      </c>
      <c r="N2065" s="256">
        <v>57.8</v>
      </c>
      <c r="O2065" s="262">
        <v>6473.6</v>
      </c>
      <c r="P2065" s="72">
        <v>8710</v>
      </c>
      <c r="Q2065" s="256">
        <f t="shared" si="466"/>
        <v>1916.2</v>
      </c>
      <c r="R2065" s="256">
        <f t="shared" si="467"/>
        <v>10626.2</v>
      </c>
      <c r="S2065" s="290"/>
      <c r="T2065" s="254">
        <v>126</v>
      </c>
      <c r="U2065" s="293"/>
    </row>
    <row r="2066" spans="1:21" ht="20.5" customHeight="1" x14ac:dyDescent="0.35">
      <c r="A2066" s="242" t="s">
        <v>4593</v>
      </c>
      <c r="B2066" s="3">
        <v>1928</v>
      </c>
      <c r="C2066" s="258">
        <v>10143622</v>
      </c>
      <c r="D2066" s="248" t="s">
        <v>4293</v>
      </c>
      <c r="E2066" s="248" t="s">
        <v>2219</v>
      </c>
      <c r="F2066" s="259">
        <v>284</v>
      </c>
      <c r="G2066" s="254" t="s">
        <v>0</v>
      </c>
      <c r="H2066" s="261">
        <v>42004</v>
      </c>
      <c r="I2066" s="254" t="s">
        <v>984</v>
      </c>
      <c r="J2066" s="253" t="s">
        <v>1962</v>
      </c>
      <c r="K2066" s="254" t="s">
        <v>988</v>
      </c>
      <c r="L2066" s="254" t="s">
        <v>4577</v>
      </c>
      <c r="M2066" s="262">
        <v>868035.59</v>
      </c>
      <c r="N2066" s="256">
        <v>3056.46</v>
      </c>
      <c r="O2066" s="262">
        <v>868035.59</v>
      </c>
      <c r="P2066" s="72">
        <v>1407140</v>
      </c>
      <c r="Q2066" s="256">
        <f t="shared" si="466"/>
        <v>309570.8</v>
      </c>
      <c r="R2066" s="256">
        <f t="shared" si="467"/>
        <v>1716710.8</v>
      </c>
      <c r="S2066" s="291"/>
      <c r="T2066" s="254">
        <v>126</v>
      </c>
      <c r="U2066" s="293"/>
    </row>
    <row r="2067" spans="1:21" ht="20.5" customHeight="1" x14ac:dyDescent="0.35">
      <c r="A2067" s="239"/>
      <c r="B2067" s="94"/>
      <c r="C2067" s="258"/>
      <c r="D2067" s="248"/>
      <c r="E2067" s="248"/>
      <c r="F2067" s="259"/>
      <c r="G2067" s="254"/>
      <c r="H2067" s="261"/>
      <c r="I2067" s="254"/>
      <c r="J2067" s="253"/>
      <c r="K2067" s="254"/>
      <c r="L2067" s="254"/>
      <c r="M2067" s="262"/>
      <c r="N2067" s="256"/>
      <c r="O2067" s="245">
        <f>SUM(O2053:O2066)</f>
        <v>1220258.58</v>
      </c>
      <c r="P2067" s="276">
        <f t="shared" ref="P2067:Q2067" si="468">SUM(P2053:P2066)</f>
        <v>1896870</v>
      </c>
      <c r="Q2067" s="282">
        <f t="shared" si="468"/>
        <v>417311.4</v>
      </c>
      <c r="R2067" s="282">
        <f>SUM(R2053:R2066)</f>
        <v>2314181.4</v>
      </c>
      <c r="S2067" s="286">
        <f>R2067/100*10</f>
        <v>231418.14</v>
      </c>
      <c r="T2067" s="273">
        <v>126</v>
      </c>
      <c r="U2067" s="304"/>
    </row>
    <row r="2068" spans="1:21" ht="20.5" customHeight="1" x14ac:dyDescent="0.35">
      <c r="A2068" s="242" t="s">
        <v>4594</v>
      </c>
      <c r="B2068" s="3">
        <v>1929</v>
      </c>
      <c r="C2068" s="258">
        <v>10010023</v>
      </c>
      <c r="D2068" s="248" t="s">
        <v>4294</v>
      </c>
      <c r="E2068" s="248" t="s">
        <v>2219</v>
      </c>
      <c r="F2068" s="259">
        <v>1</v>
      </c>
      <c r="G2068" s="254" t="s">
        <v>0</v>
      </c>
      <c r="H2068" s="261">
        <v>42004</v>
      </c>
      <c r="I2068" s="254" t="s">
        <v>984</v>
      </c>
      <c r="J2068" s="253" t="s">
        <v>1962</v>
      </c>
      <c r="K2068" s="254" t="s">
        <v>988</v>
      </c>
      <c r="L2068" s="254" t="s">
        <v>4577</v>
      </c>
      <c r="M2068" s="262">
        <v>8051.3</v>
      </c>
      <c r="N2068" s="262">
        <v>8051.3</v>
      </c>
      <c r="O2068" s="262">
        <v>8051.3</v>
      </c>
      <c r="P2068" s="72">
        <v>13050</v>
      </c>
      <c r="Q2068" s="256">
        <f t="shared" ref="Q2068:Q2085" si="469">R2068-P2068</f>
        <v>2871</v>
      </c>
      <c r="R2068" s="256">
        <f t="shared" ref="R2068:R2085" si="470">P2068*1.22</f>
        <v>15921</v>
      </c>
      <c r="S2068" s="289"/>
      <c r="T2068" s="254">
        <v>127</v>
      </c>
      <c r="U2068" s="294" t="s">
        <v>4579</v>
      </c>
    </row>
    <row r="2069" spans="1:21" ht="20.5" customHeight="1" x14ac:dyDescent="0.35">
      <c r="A2069" s="242" t="s">
        <v>4595</v>
      </c>
      <c r="B2069" s="3">
        <v>1930</v>
      </c>
      <c r="C2069" s="258">
        <v>10119260</v>
      </c>
      <c r="D2069" s="248" t="s">
        <v>4295</v>
      </c>
      <c r="E2069" s="248" t="s">
        <v>2219</v>
      </c>
      <c r="F2069" s="259">
        <v>1</v>
      </c>
      <c r="G2069" s="254" t="s">
        <v>0</v>
      </c>
      <c r="H2069" s="261">
        <v>42004</v>
      </c>
      <c r="I2069" s="254" t="s">
        <v>984</v>
      </c>
      <c r="J2069" s="253" t="s">
        <v>1962</v>
      </c>
      <c r="K2069" s="254" t="s">
        <v>988</v>
      </c>
      <c r="L2069" s="254" t="s">
        <v>4577</v>
      </c>
      <c r="M2069" s="262">
        <v>1010</v>
      </c>
      <c r="N2069" s="262">
        <v>1010</v>
      </c>
      <c r="O2069" s="262">
        <v>1010</v>
      </c>
      <c r="P2069" s="72">
        <v>1640</v>
      </c>
      <c r="Q2069" s="256">
        <f t="shared" si="469"/>
        <v>360.8</v>
      </c>
      <c r="R2069" s="256">
        <f t="shared" si="470"/>
        <v>2000.8</v>
      </c>
      <c r="S2069" s="290"/>
      <c r="T2069" s="254">
        <v>127</v>
      </c>
      <c r="U2069" s="293"/>
    </row>
    <row r="2070" spans="1:21" ht="20.5" customHeight="1" x14ac:dyDescent="0.35">
      <c r="A2070" s="242" t="s">
        <v>4596</v>
      </c>
      <c r="B2070" s="3">
        <v>1931</v>
      </c>
      <c r="C2070" s="258">
        <v>10029757</v>
      </c>
      <c r="D2070" s="248" t="s">
        <v>4296</v>
      </c>
      <c r="E2070" s="248" t="s">
        <v>2219</v>
      </c>
      <c r="F2070" s="259">
        <v>221</v>
      </c>
      <c r="G2070" s="254" t="s">
        <v>0</v>
      </c>
      <c r="H2070" s="261">
        <v>42004</v>
      </c>
      <c r="I2070" s="254" t="s">
        <v>984</v>
      </c>
      <c r="J2070" s="253" t="s">
        <v>1962</v>
      </c>
      <c r="K2070" s="254" t="s">
        <v>988</v>
      </c>
      <c r="L2070" s="254" t="s">
        <v>4577</v>
      </c>
      <c r="M2070" s="262">
        <v>3001.79</v>
      </c>
      <c r="N2070" s="256">
        <v>13.58</v>
      </c>
      <c r="O2070" s="262">
        <v>3001.79</v>
      </c>
      <c r="P2070" s="72">
        <v>4870</v>
      </c>
      <c r="Q2070" s="256">
        <f t="shared" si="469"/>
        <v>1071.4000000000001</v>
      </c>
      <c r="R2070" s="256">
        <f t="shared" si="470"/>
        <v>5941.4</v>
      </c>
      <c r="S2070" s="290"/>
      <c r="T2070" s="254">
        <v>127</v>
      </c>
      <c r="U2070" s="293"/>
    </row>
    <row r="2071" spans="1:21" ht="20.5" customHeight="1" x14ac:dyDescent="0.35">
      <c r="A2071" s="242" t="s">
        <v>4597</v>
      </c>
      <c r="B2071" s="3">
        <v>1932</v>
      </c>
      <c r="C2071" s="258">
        <v>10149539</v>
      </c>
      <c r="D2071" s="248" t="s">
        <v>4297</v>
      </c>
      <c r="E2071" s="248" t="s">
        <v>2219</v>
      </c>
      <c r="F2071" s="259">
        <v>17</v>
      </c>
      <c r="G2071" s="254" t="s">
        <v>0</v>
      </c>
      <c r="H2071" s="261">
        <v>42004</v>
      </c>
      <c r="I2071" s="254" t="s">
        <v>984</v>
      </c>
      <c r="J2071" s="253" t="s">
        <v>1962</v>
      </c>
      <c r="K2071" s="254" t="s">
        <v>988</v>
      </c>
      <c r="L2071" s="254" t="s">
        <v>4577</v>
      </c>
      <c r="M2071" s="262">
        <v>3570</v>
      </c>
      <c r="N2071" s="256">
        <v>210</v>
      </c>
      <c r="O2071" s="262">
        <v>3570</v>
      </c>
      <c r="P2071" s="72">
        <v>5790</v>
      </c>
      <c r="Q2071" s="256">
        <f t="shared" si="469"/>
        <v>1273.8</v>
      </c>
      <c r="R2071" s="256">
        <f t="shared" si="470"/>
        <v>7063.8</v>
      </c>
      <c r="S2071" s="290"/>
      <c r="T2071" s="254">
        <v>127</v>
      </c>
      <c r="U2071" s="293"/>
    </row>
    <row r="2072" spans="1:21" ht="20.5" customHeight="1" x14ac:dyDescent="0.35">
      <c r="A2072" s="242" t="s">
        <v>4598</v>
      </c>
      <c r="B2072" s="3">
        <v>1933</v>
      </c>
      <c r="C2072" s="258">
        <v>10008544</v>
      </c>
      <c r="D2072" s="248" t="s">
        <v>4298</v>
      </c>
      <c r="E2072" s="248" t="s">
        <v>2219</v>
      </c>
      <c r="F2072" s="259">
        <v>2</v>
      </c>
      <c r="G2072" s="254" t="s">
        <v>0</v>
      </c>
      <c r="H2072" s="261">
        <v>42004</v>
      </c>
      <c r="I2072" s="254" t="s">
        <v>984</v>
      </c>
      <c r="J2072" s="253" t="s">
        <v>1962</v>
      </c>
      <c r="K2072" s="254" t="s">
        <v>988</v>
      </c>
      <c r="L2072" s="254" t="s">
        <v>4577</v>
      </c>
      <c r="M2072" s="262">
        <v>1288.95</v>
      </c>
      <c r="N2072" s="256">
        <v>644.48</v>
      </c>
      <c r="O2072" s="262">
        <v>1288.95</v>
      </c>
      <c r="P2072" s="72">
        <v>2090</v>
      </c>
      <c r="Q2072" s="256">
        <f t="shared" si="469"/>
        <v>459.8</v>
      </c>
      <c r="R2072" s="256">
        <f t="shared" si="470"/>
        <v>2549.8000000000002</v>
      </c>
      <c r="S2072" s="290"/>
      <c r="T2072" s="254">
        <v>127</v>
      </c>
      <c r="U2072" s="293"/>
    </row>
    <row r="2073" spans="1:21" ht="20.5" customHeight="1" x14ac:dyDescent="0.35">
      <c r="A2073" s="242" t="s">
        <v>4599</v>
      </c>
      <c r="B2073" s="3">
        <v>1934</v>
      </c>
      <c r="C2073" s="258">
        <v>10150255</v>
      </c>
      <c r="D2073" s="248" t="s">
        <v>4299</v>
      </c>
      <c r="E2073" s="248" t="s">
        <v>2219</v>
      </c>
      <c r="F2073" s="259">
        <v>1</v>
      </c>
      <c r="G2073" s="254" t="s">
        <v>0</v>
      </c>
      <c r="H2073" s="261">
        <v>42004</v>
      </c>
      <c r="I2073" s="254" t="s">
        <v>984</v>
      </c>
      <c r="J2073" s="253" t="s">
        <v>1962</v>
      </c>
      <c r="K2073" s="254" t="s">
        <v>988</v>
      </c>
      <c r="L2073" s="254" t="s">
        <v>4577</v>
      </c>
      <c r="M2073" s="262">
        <v>5184</v>
      </c>
      <c r="N2073" s="262">
        <v>5184</v>
      </c>
      <c r="O2073" s="262">
        <v>5184</v>
      </c>
      <c r="P2073" s="72">
        <v>8400</v>
      </c>
      <c r="Q2073" s="256">
        <f t="shared" si="469"/>
        <v>1848</v>
      </c>
      <c r="R2073" s="256">
        <f t="shared" si="470"/>
        <v>10248</v>
      </c>
      <c r="S2073" s="290"/>
      <c r="T2073" s="254">
        <v>127</v>
      </c>
      <c r="U2073" s="293"/>
    </row>
    <row r="2074" spans="1:21" ht="20.5" customHeight="1" x14ac:dyDescent="0.35">
      <c r="A2074" s="242" t="s">
        <v>4600</v>
      </c>
      <c r="B2074" s="3">
        <v>1935</v>
      </c>
      <c r="C2074" s="258">
        <v>10106770</v>
      </c>
      <c r="D2074" s="248" t="s">
        <v>4300</v>
      </c>
      <c r="E2074" s="248" t="s">
        <v>2219</v>
      </c>
      <c r="F2074" s="259">
        <v>1</v>
      </c>
      <c r="G2074" s="254" t="s">
        <v>0</v>
      </c>
      <c r="H2074" s="261">
        <v>42004</v>
      </c>
      <c r="I2074" s="254" t="s">
        <v>984</v>
      </c>
      <c r="J2074" s="253" t="s">
        <v>1962</v>
      </c>
      <c r="K2074" s="254" t="s">
        <v>988</v>
      </c>
      <c r="L2074" s="254" t="s">
        <v>4577</v>
      </c>
      <c r="M2074" s="262">
        <v>6045</v>
      </c>
      <c r="N2074" s="262">
        <v>6045</v>
      </c>
      <c r="O2074" s="262">
        <v>6045</v>
      </c>
      <c r="P2074" s="72">
        <v>9800</v>
      </c>
      <c r="Q2074" s="256">
        <f t="shared" si="469"/>
        <v>2156</v>
      </c>
      <c r="R2074" s="256">
        <f t="shared" si="470"/>
        <v>11956</v>
      </c>
      <c r="S2074" s="290"/>
      <c r="T2074" s="254">
        <v>127</v>
      </c>
      <c r="U2074" s="293"/>
    </row>
    <row r="2075" spans="1:21" ht="20.5" customHeight="1" x14ac:dyDescent="0.35">
      <c r="A2075" s="242" t="s">
        <v>4601</v>
      </c>
      <c r="B2075" s="3">
        <v>1936</v>
      </c>
      <c r="C2075" s="258">
        <v>10107869</v>
      </c>
      <c r="D2075" s="248" t="s">
        <v>4301</v>
      </c>
      <c r="E2075" s="248" t="s">
        <v>2219</v>
      </c>
      <c r="F2075" s="259">
        <v>2</v>
      </c>
      <c r="G2075" s="254" t="s">
        <v>0</v>
      </c>
      <c r="H2075" s="261">
        <v>42004</v>
      </c>
      <c r="I2075" s="254" t="s">
        <v>984</v>
      </c>
      <c r="J2075" s="253" t="s">
        <v>1962</v>
      </c>
      <c r="K2075" s="254" t="s">
        <v>988</v>
      </c>
      <c r="L2075" s="254" t="s">
        <v>4577</v>
      </c>
      <c r="M2075" s="262">
        <v>2084.94</v>
      </c>
      <c r="N2075" s="256">
        <v>1042.47</v>
      </c>
      <c r="O2075" s="262">
        <v>2084.94</v>
      </c>
      <c r="P2075" s="72">
        <v>3380</v>
      </c>
      <c r="Q2075" s="256">
        <f t="shared" si="469"/>
        <v>743.6</v>
      </c>
      <c r="R2075" s="256">
        <f t="shared" si="470"/>
        <v>4123.6000000000004</v>
      </c>
      <c r="S2075" s="290"/>
      <c r="T2075" s="254">
        <v>127</v>
      </c>
      <c r="U2075" s="293"/>
    </row>
    <row r="2076" spans="1:21" ht="20.5" customHeight="1" x14ac:dyDescent="0.35">
      <c r="A2076" s="242" t="s">
        <v>4602</v>
      </c>
      <c r="B2076" s="3">
        <v>1937</v>
      </c>
      <c r="C2076" s="258">
        <v>10029647</v>
      </c>
      <c r="D2076" s="248" t="s">
        <v>4302</v>
      </c>
      <c r="E2076" s="248" t="s">
        <v>2219</v>
      </c>
      <c r="F2076" s="259">
        <v>26</v>
      </c>
      <c r="G2076" s="254" t="s">
        <v>0</v>
      </c>
      <c r="H2076" s="261">
        <v>42004</v>
      </c>
      <c r="I2076" s="254" t="s">
        <v>984</v>
      </c>
      <c r="J2076" s="253" t="s">
        <v>1962</v>
      </c>
      <c r="K2076" s="254" t="s">
        <v>988</v>
      </c>
      <c r="L2076" s="254" t="s">
        <v>4577</v>
      </c>
      <c r="M2076" s="262">
        <v>872.14</v>
      </c>
      <c r="N2076" s="256">
        <v>33.54</v>
      </c>
      <c r="O2076" s="262">
        <v>872.14</v>
      </c>
      <c r="P2076" s="72">
        <v>1410</v>
      </c>
      <c r="Q2076" s="256">
        <f t="shared" si="469"/>
        <v>310.2</v>
      </c>
      <c r="R2076" s="256">
        <f t="shared" si="470"/>
        <v>1720.2</v>
      </c>
      <c r="S2076" s="290"/>
      <c r="T2076" s="254">
        <v>127</v>
      </c>
      <c r="U2076" s="293"/>
    </row>
    <row r="2077" spans="1:21" ht="20.5" customHeight="1" x14ac:dyDescent="0.35">
      <c r="A2077" s="242" t="s">
        <v>4603</v>
      </c>
      <c r="B2077" s="3">
        <v>1938</v>
      </c>
      <c r="C2077" s="258">
        <v>10042326</v>
      </c>
      <c r="D2077" s="248" t="s">
        <v>4303</v>
      </c>
      <c r="E2077" s="248" t="s">
        <v>2219</v>
      </c>
      <c r="F2077" s="259">
        <v>10</v>
      </c>
      <c r="G2077" s="254" t="s">
        <v>0</v>
      </c>
      <c r="H2077" s="261">
        <v>42004</v>
      </c>
      <c r="I2077" s="254" t="s">
        <v>984</v>
      </c>
      <c r="J2077" s="253" t="s">
        <v>1962</v>
      </c>
      <c r="K2077" s="254" t="s">
        <v>988</v>
      </c>
      <c r="L2077" s="254" t="s">
        <v>4577</v>
      </c>
      <c r="M2077" s="262">
        <v>5920.3</v>
      </c>
      <c r="N2077" s="256">
        <v>592.03</v>
      </c>
      <c r="O2077" s="262">
        <v>5920.3</v>
      </c>
      <c r="P2077" s="72">
        <v>9600</v>
      </c>
      <c r="Q2077" s="256">
        <f t="shared" si="469"/>
        <v>2112</v>
      </c>
      <c r="R2077" s="256">
        <f t="shared" si="470"/>
        <v>11712</v>
      </c>
      <c r="S2077" s="290"/>
      <c r="T2077" s="254">
        <v>127</v>
      </c>
      <c r="U2077" s="293"/>
    </row>
    <row r="2078" spans="1:21" ht="20.5" customHeight="1" x14ac:dyDescent="0.35">
      <c r="A2078" s="242" t="s">
        <v>4604</v>
      </c>
      <c r="B2078" s="3">
        <v>1939</v>
      </c>
      <c r="C2078" s="258">
        <v>10005953</v>
      </c>
      <c r="D2078" s="248" t="s">
        <v>4304</v>
      </c>
      <c r="E2078" s="248" t="s">
        <v>2219</v>
      </c>
      <c r="F2078" s="259">
        <v>3</v>
      </c>
      <c r="G2078" s="254" t="s">
        <v>0</v>
      </c>
      <c r="H2078" s="261">
        <v>42004</v>
      </c>
      <c r="I2078" s="254" t="s">
        <v>984</v>
      </c>
      <c r="J2078" s="253" t="s">
        <v>1962</v>
      </c>
      <c r="K2078" s="254" t="s">
        <v>988</v>
      </c>
      <c r="L2078" s="254" t="s">
        <v>4577</v>
      </c>
      <c r="M2078" s="262">
        <v>1252.1400000000001</v>
      </c>
      <c r="N2078" s="256">
        <v>417.38</v>
      </c>
      <c r="O2078" s="262">
        <v>1252.1400000000001</v>
      </c>
      <c r="P2078" s="72">
        <v>2030</v>
      </c>
      <c r="Q2078" s="256">
        <f t="shared" si="469"/>
        <v>446.6</v>
      </c>
      <c r="R2078" s="256">
        <f t="shared" si="470"/>
        <v>2476.6</v>
      </c>
      <c r="S2078" s="290"/>
      <c r="T2078" s="254">
        <v>127</v>
      </c>
      <c r="U2078" s="293"/>
    </row>
    <row r="2079" spans="1:21" ht="20.5" customHeight="1" x14ac:dyDescent="0.35">
      <c r="A2079" s="242" t="s">
        <v>4605</v>
      </c>
      <c r="B2079" s="3">
        <v>1940</v>
      </c>
      <c r="C2079" s="258">
        <v>10010243</v>
      </c>
      <c r="D2079" s="248" t="s">
        <v>4305</v>
      </c>
      <c r="E2079" s="248" t="s">
        <v>2219</v>
      </c>
      <c r="F2079" s="259">
        <v>11</v>
      </c>
      <c r="G2079" s="254" t="s">
        <v>0</v>
      </c>
      <c r="H2079" s="261">
        <v>42004</v>
      </c>
      <c r="I2079" s="254" t="s">
        <v>984</v>
      </c>
      <c r="J2079" s="253" t="s">
        <v>1962</v>
      </c>
      <c r="K2079" s="254" t="s">
        <v>988</v>
      </c>
      <c r="L2079" s="254" t="s">
        <v>4577</v>
      </c>
      <c r="M2079" s="262">
        <v>1758.6</v>
      </c>
      <c r="N2079" s="256">
        <v>159.87</v>
      </c>
      <c r="O2079" s="262">
        <v>1758.6</v>
      </c>
      <c r="P2079" s="72">
        <v>2850</v>
      </c>
      <c r="Q2079" s="256">
        <f t="shared" si="469"/>
        <v>627</v>
      </c>
      <c r="R2079" s="256">
        <f t="shared" si="470"/>
        <v>3477</v>
      </c>
      <c r="S2079" s="290"/>
      <c r="T2079" s="254">
        <v>127</v>
      </c>
      <c r="U2079" s="293"/>
    </row>
    <row r="2080" spans="1:21" ht="20.5" customHeight="1" x14ac:dyDescent="0.35">
      <c r="A2080" s="242" t="s">
        <v>4606</v>
      </c>
      <c r="B2080" s="3">
        <v>1941</v>
      </c>
      <c r="C2080" s="258">
        <v>10143771</v>
      </c>
      <c r="D2080" s="248" t="s">
        <v>4306</v>
      </c>
      <c r="E2080" s="248" t="s">
        <v>2219</v>
      </c>
      <c r="F2080" s="259">
        <v>0.627</v>
      </c>
      <c r="G2080" s="260" t="s">
        <v>3</v>
      </c>
      <c r="H2080" s="261">
        <v>42004</v>
      </c>
      <c r="I2080" s="254" t="s">
        <v>984</v>
      </c>
      <c r="J2080" s="253" t="s">
        <v>1962</v>
      </c>
      <c r="K2080" s="254" t="s">
        <v>988</v>
      </c>
      <c r="L2080" s="254" t="s">
        <v>4577</v>
      </c>
      <c r="M2080" s="262">
        <v>16119.97</v>
      </c>
      <c r="N2080" s="256">
        <f>M2080/F2080</f>
        <v>25709.68</v>
      </c>
      <c r="O2080" s="262">
        <v>16119.97</v>
      </c>
      <c r="P2080" s="72">
        <v>26130</v>
      </c>
      <c r="Q2080" s="256">
        <f t="shared" si="469"/>
        <v>5748.6</v>
      </c>
      <c r="R2080" s="256">
        <f t="shared" si="470"/>
        <v>31878.6</v>
      </c>
      <c r="S2080" s="290"/>
      <c r="T2080" s="254">
        <v>127</v>
      </c>
      <c r="U2080" s="293"/>
    </row>
    <row r="2081" spans="1:21" ht="20.5" customHeight="1" x14ac:dyDescent="0.35">
      <c r="A2081" s="242" t="s">
        <v>4607</v>
      </c>
      <c r="B2081" s="3">
        <v>1942</v>
      </c>
      <c r="C2081" s="258">
        <v>10143770</v>
      </c>
      <c r="D2081" s="248" t="s">
        <v>4307</v>
      </c>
      <c r="E2081" s="248" t="s">
        <v>2219</v>
      </c>
      <c r="F2081" s="259">
        <v>0.73199999999999998</v>
      </c>
      <c r="G2081" s="260" t="s">
        <v>3</v>
      </c>
      <c r="H2081" s="261">
        <v>42004</v>
      </c>
      <c r="I2081" s="254" t="s">
        <v>984</v>
      </c>
      <c r="J2081" s="253" t="s">
        <v>1962</v>
      </c>
      <c r="K2081" s="254" t="s">
        <v>988</v>
      </c>
      <c r="L2081" s="254" t="s">
        <v>4577</v>
      </c>
      <c r="M2081" s="262">
        <v>18814.509999999998</v>
      </c>
      <c r="N2081" s="256">
        <f>M2081/F2081</f>
        <v>25702.880000000001</v>
      </c>
      <c r="O2081" s="262">
        <v>18814.509999999998</v>
      </c>
      <c r="P2081" s="72">
        <v>30500</v>
      </c>
      <c r="Q2081" s="256">
        <f t="shared" si="469"/>
        <v>6710</v>
      </c>
      <c r="R2081" s="256">
        <f t="shared" si="470"/>
        <v>37210</v>
      </c>
      <c r="S2081" s="290"/>
      <c r="T2081" s="254">
        <v>127</v>
      </c>
      <c r="U2081" s="293"/>
    </row>
    <row r="2082" spans="1:21" ht="20.5" customHeight="1" x14ac:dyDescent="0.35">
      <c r="A2082" s="242" t="s">
        <v>4608</v>
      </c>
      <c r="B2082" s="3">
        <v>1943</v>
      </c>
      <c r="C2082" s="258">
        <v>10029657</v>
      </c>
      <c r="D2082" s="248" t="s">
        <v>4308</v>
      </c>
      <c r="E2082" s="248" t="s">
        <v>2219</v>
      </c>
      <c r="F2082" s="259">
        <v>44</v>
      </c>
      <c r="G2082" s="254" t="s">
        <v>0</v>
      </c>
      <c r="H2082" s="261">
        <v>42004</v>
      </c>
      <c r="I2082" s="254" t="s">
        <v>984</v>
      </c>
      <c r="J2082" s="253" t="s">
        <v>1962</v>
      </c>
      <c r="K2082" s="254" t="s">
        <v>988</v>
      </c>
      <c r="L2082" s="254" t="s">
        <v>4577</v>
      </c>
      <c r="M2082" s="262">
        <v>726.35</v>
      </c>
      <c r="N2082" s="256">
        <v>16.510000000000002</v>
      </c>
      <c r="O2082" s="262">
        <v>726.35</v>
      </c>
      <c r="P2082" s="72">
        <v>1180</v>
      </c>
      <c r="Q2082" s="256">
        <f t="shared" si="469"/>
        <v>259.60000000000002</v>
      </c>
      <c r="R2082" s="256">
        <f t="shared" si="470"/>
        <v>1439.6</v>
      </c>
      <c r="S2082" s="290"/>
      <c r="T2082" s="254">
        <v>127</v>
      </c>
      <c r="U2082" s="293"/>
    </row>
    <row r="2083" spans="1:21" ht="20.5" customHeight="1" x14ac:dyDescent="0.35">
      <c r="A2083" s="242" t="s">
        <v>4609</v>
      </c>
      <c r="B2083" s="3">
        <v>1944</v>
      </c>
      <c r="C2083" s="258">
        <v>10029661</v>
      </c>
      <c r="D2083" s="248" t="s">
        <v>4309</v>
      </c>
      <c r="E2083" s="248" t="s">
        <v>2219</v>
      </c>
      <c r="F2083" s="259">
        <v>31</v>
      </c>
      <c r="G2083" s="254" t="s">
        <v>0</v>
      </c>
      <c r="H2083" s="261">
        <v>42004</v>
      </c>
      <c r="I2083" s="254" t="s">
        <v>984</v>
      </c>
      <c r="J2083" s="253" t="s">
        <v>1962</v>
      </c>
      <c r="K2083" s="254" t="s">
        <v>988</v>
      </c>
      <c r="L2083" s="254" t="s">
        <v>4577</v>
      </c>
      <c r="M2083" s="262">
        <v>1054.93</v>
      </c>
      <c r="N2083" s="256">
        <v>34.03</v>
      </c>
      <c r="O2083" s="262">
        <v>1054.93</v>
      </c>
      <c r="P2083" s="72">
        <v>1710</v>
      </c>
      <c r="Q2083" s="256">
        <f t="shared" si="469"/>
        <v>376.2</v>
      </c>
      <c r="R2083" s="256">
        <f t="shared" si="470"/>
        <v>2086.1999999999998</v>
      </c>
      <c r="S2083" s="290"/>
      <c r="T2083" s="254">
        <v>127</v>
      </c>
      <c r="U2083" s="293"/>
    </row>
    <row r="2084" spans="1:21" ht="20.5" customHeight="1" x14ac:dyDescent="0.35">
      <c r="A2084" s="242" t="s">
        <v>4610</v>
      </c>
      <c r="B2084" s="3">
        <v>1945</v>
      </c>
      <c r="C2084" s="258">
        <v>10029663</v>
      </c>
      <c r="D2084" s="248" t="s">
        <v>4310</v>
      </c>
      <c r="E2084" s="248" t="s">
        <v>2219</v>
      </c>
      <c r="F2084" s="259">
        <v>79</v>
      </c>
      <c r="G2084" s="254" t="s">
        <v>0</v>
      </c>
      <c r="H2084" s="261">
        <v>42004</v>
      </c>
      <c r="I2084" s="254" t="s">
        <v>984</v>
      </c>
      <c r="J2084" s="253" t="s">
        <v>1962</v>
      </c>
      <c r="K2084" s="254" t="s">
        <v>988</v>
      </c>
      <c r="L2084" s="254" t="s">
        <v>4577</v>
      </c>
      <c r="M2084" s="262">
        <v>3849.67</v>
      </c>
      <c r="N2084" s="256">
        <v>48.73</v>
      </c>
      <c r="O2084" s="262">
        <v>3849.67</v>
      </c>
      <c r="P2084" s="72">
        <v>6240</v>
      </c>
      <c r="Q2084" s="256">
        <f t="shared" si="469"/>
        <v>1372.8</v>
      </c>
      <c r="R2084" s="256">
        <f t="shared" si="470"/>
        <v>7612.8</v>
      </c>
      <c r="S2084" s="290"/>
      <c r="T2084" s="254">
        <v>127</v>
      </c>
      <c r="U2084" s="293"/>
    </row>
    <row r="2085" spans="1:21" ht="20.5" customHeight="1" x14ac:dyDescent="0.35">
      <c r="A2085" s="242" t="s">
        <v>4611</v>
      </c>
      <c r="B2085" s="3">
        <v>1946</v>
      </c>
      <c r="C2085" s="258">
        <v>10005765</v>
      </c>
      <c r="D2085" s="248" t="s">
        <v>4311</v>
      </c>
      <c r="E2085" s="248" t="s">
        <v>2219</v>
      </c>
      <c r="F2085" s="259">
        <v>580</v>
      </c>
      <c r="G2085" s="260" t="s">
        <v>17</v>
      </c>
      <c r="H2085" s="261">
        <v>42004</v>
      </c>
      <c r="I2085" s="254" t="s">
        <v>984</v>
      </c>
      <c r="J2085" s="253" t="s">
        <v>1962</v>
      </c>
      <c r="K2085" s="254" t="s">
        <v>988</v>
      </c>
      <c r="L2085" s="254" t="s">
        <v>4577</v>
      </c>
      <c r="M2085" s="262">
        <v>83264.570000000007</v>
      </c>
      <c r="N2085" s="256">
        <v>143.56</v>
      </c>
      <c r="O2085" s="262">
        <v>83264.570000000007</v>
      </c>
      <c r="P2085" s="72">
        <v>134980</v>
      </c>
      <c r="Q2085" s="256">
        <f t="shared" si="469"/>
        <v>29695.599999999999</v>
      </c>
      <c r="R2085" s="256">
        <f t="shared" si="470"/>
        <v>164675.6</v>
      </c>
      <c r="S2085" s="291"/>
      <c r="T2085" s="254">
        <v>127</v>
      </c>
      <c r="U2085" s="293"/>
    </row>
    <row r="2086" spans="1:21" ht="20.5" customHeight="1" x14ac:dyDescent="0.35">
      <c r="A2086" s="218"/>
      <c r="B2086" s="94"/>
      <c r="C2086" s="238"/>
      <c r="D2086" s="13"/>
      <c r="E2086" s="19"/>
      <c r="F2086" s="116"/>
      <c r="G2086" s="236"/>
      <c r="H2086" s="237"/>
      <c r="I2086" s="5"/>
      <c r="J2086" s="4"/>
      <c r="K2086" s="3"/>
      <c r="L2086" s="3"/>
      <c r="M2086" s="161"/>
      <c r="N2086" s="72"/>
      <c r="O2086" s="203">
        <f>SUM(O2068:O2085)</f>
        <v>163869.16</v>
      </c>
      <c r="P2086" s="276">
        <f t="shared" ref="P2086:Q2086" si="471">SUM(P2068:P2085)</f>
        <v>265650</v>
      </c>
      <c r="Q2086" s="282">
        <f t="shared" si="471"/>
        <v>58443</v>
      </c>
      <c r="R2086" s="282">
        <f>SUM(R2068:R2085)</f>
        <v>324093</v>
      </c>
      <c r="S2086" s="286">
        <f>R2086/100*10</f>
        <v>32409.3</v>
      </c>
      <c r="T2086" s="104">
        <v>127</v>
      </c>
      <c r="U2086" s="304"/>
    </row>
    <row r="2087" spans="1:21" ht="18.75" customHeight="1" x14ac:dyDescent="0.35">
      <c r="A2087" s="301" t="s">
        <v>4136</v>
      </c>
      <c r="B2087" s="302"/>
      <c r="C2087" s="302"/>
      <c r="D2087" s="302"/>
      <c r="E2087" s="302"/>
      <c r="F2087" s="302"/>
      <c r="G2087" s="302"/>
      <c r="H2087" s="302"/>
      <c r="I2087" s="302"/>
      <c r="J2087" s="302"/>
      <c r="K2087" s="302"/>
      <c r="L2087" s="303"/>
      <c r="M2087" s="120"/>
      <c r="N2087" s="120"/>
      <c r="O2087" s="243">
        <f>O55+O62+O66+O86+O114+O121+O125+O127+O137+O140+O150+O169+O173+O179+O275+O328+O332+O339+O344+O350+O360+O384+O476+O478+O499+O506+O508+O512+O538+O545+O549+O558+O693+O783+O906+O1007+O1009+O1011+O1018+O1024+O1030+O1043+O1053+O1061+O1070+O1074+O1148+O1171+O1192+O1214+O1217+O1225+O1281+O1327+O1333+O1336+O1340+O1346+O1352+O1370+O1377+O1381+O1385+O1387+O1397+O1400+O1407+O1451+O1454+O1457+O1460+O1471+O1480+O1492+O1498+O1505+O1510+O1525+O1540+O1548+O1551+O1560+O1571+O1573+O1579+O1582+O1588+O1595+O1597+O1599+O1603+O1671+O1679+O1709+O1712+O1714+O1721+O1728+O1743+O1747+O1755+O1767+O1770+O1773+O1777+O1785+O1797+O1799+O1802+O1804+O1809+O1813+O1819+O1822+O1825+O1924+O1936+O1938+O1949+O1951+O1983+O2010+O2019+O2040+O2052+O2067+O2086</f>
        <v>277528739.31999999</v>
      </c>
      <c r="P2087" s="278">
        <f>P55+P62+P66+P86+P114+P121+P125+P127+P137+P140+P150+P169+P173+P179+P275+P328+P332+P339+P344+P350+P360+P384+P476+P478+P499+P506+P508+P512+P538+P545+P549+P558+P693+P783+P906+P1007+P1009+P1011+P1018+P1024+P1030+P1043+P1053+P1061+P1070+P1074+P1148+P1171+P1192+P1214+P1217+P1225+P1281+P1327+P1333+P1336+P1340+P1346+P1352+P1370+P1377+P1381+P1385+P1387+P1397+P1400+P1407+P1451+P1454+P1457+P1460+P1471+P1480+P1492+P1498+P1505+P1510+P1525+P1540+P1548+P1551+P1560+P1571+P1573+P1579+P1582+P1588+P1595+P1597+P1599+P1603+P1671+P1679+P1709+P1712+P1714+P1721+P1728+P1743+P1747+P1755+P1767+P1770+P1773+P1777+P1785+P1797+P1799+P1802+P1804+P1809+P1813+P1819+P1822+P1825+P1924+P1936+P1938+P1949+P1951+P1983+P2010+P2019+P2040+P2052+P2067+P2086</f>
        <v>276434558</v>
      </c>
      <c r="Q2087" s="278">
        <f>Q55+Q62+Q66+Q86+Q114+Q121+Q125+Q127+Q137+Q140+Q150+Q169+Q173+Q179+Q275+Q328+Q332+Q339+Q344+Q350+Q360+Q384+Q476+Q478+Q499+Q506+Q508+Q512+Q538+Q545+Q549+Q558+Q693+Q783+Q906+Q1007+Q1009+Q1011+Q1018+Q1024+Q1030+Q1043+Q1053+Q1061+Q1070+Q1074+Q1148+Q1171+Q1192+Q1214+Q1217+Q1225+Q1281+Q1327+Q1333+Q1336+Q1340+Q1346+Q1352+Q1370+Q1377+Q1381+Q1385+Q1387+Q1397+Q1400+Q1407+Q1451+Q1454+Q1457+Q1460+Q1471+Q1480+Q1492+Q1498+Q1505+Q1510+Q1525+Q1540+Q1548+Q1551+Q1560+Q1571+Q1573+Q1579+Q1582+Q1588+Q1595+Q1597+Q1599+Q1603+Q1671+Q1679+Q1709+Q1712+Q1714+Q1721+Q1728+Q1743+Q1747+Q1755+Q1767+Q1770+Q1773+Q1777+Q1785+Q1797+Q1799+Q1802+Q1804+Q1809+Q1813+Q1819+Q1822+Q1825+Q1924+Q1936+Q1938+Q1949+Q1951+Q1983+Q2010+Q2019+Q2040+Q2052+Q2067+Q2086</f>
        <v>60815602.759999998</v>
      </c>
      <c r="R2087" s="278">
        <f>R55+R62+R66+R86+R114+R121+R125+R127+R137+R140+R150+R169+R173+R179+R275+R328+R332+R339+R344+R350+R360+R384+R476+R478+R499+R506+R508+R512+R538+R545+R549+R558+R693+R783+R906+R1007+R1009+R1011+R1018+R1024+R1030+R1043+R1053+R1061+R1070+R1074+R1148+R1171+R1192+R1214+R1217+R1225+R1281+R1327+R1333+R1336+R1340+R1346+R1352+R1370+R1377+R1381+R1385+R1387+R1397+R1400+R1407+R1451+R1454+R1457+R1460+R1471+R1480+R1492+R1498+R1505+R1510+R1525+R1540+R1548+R1551+R1560+R1571+R1573+R1579+R1582+R1588+R1595+R1597+R1599+R1603+R1671+R1679+R1709+R1712+R1714+R1721+R1728+R1743+R1747+R1755+R1767+R1770+R1773+R1777+R1785+R1797+R1799+R1802+R1804+R1809+R1813+R1819+R1822+R1825+R1924+R1936+R1938+R1949+R1951+R1983+R2010+R2019+R2040+R2052+R2067+R2086</f>
        <v>337250160.75999999</v>
      </c>
      <c r="S2087" s="234"/>
      <c r="T2087" s="222"/>
      <c r="U2087" s="113"/>
    </row>
    <row r="2088" spans="1:21" ht="17.5" x14ac:dyDescent="0.35">
      <c r="O2088" s="134"/>
      <c r="P2088" s="134"/>
      <c r="Q2088" s="134"/>
      <c r="R2088" s="227"/>
    </row>
    <row r="2089" spans="1:21" x14ac:dyDescent="0.35">
      <c r="O2089" s="134"/>
      <c r="P2089" s="134"/>
      <c r="Q2089" s="134"/>
      <c r="R2089" s="134"/>
    </row>
    <row r="2091" spans="1:21" ht="17.5" x14ac:dyDescent="0.35">
      <c r="O2091" s="225"/>
      <c r="P2091" s="225"/>
      <c r="Q2091" s="225"/>
      <c r="R2091" s="225"/>
    </row>
  </sheetData>
  <autoFilter ref="A4:U2087"/>
  <mergeCells count="241">
    <mergeCell ref="S2041:S2051"/>
    <mergeCell ref="S2053:S2066"/>
    <mergeCell ref="S2068:S2085"/>
    <mergeCell ref="U2068:U2086"/>
    <mergeCell ref="U2053:U2067"/>
    <mergeCell ref="U138:U140"/>
    <mergeCell ref="U333:U339"/>
    <mergeCell ref="U340:U344"/>
    <mergeCell ref="U5:U55"/>
    <mergeCell ref="U56:U62"/>
    <mergeCell ref="U67:U86"/>
    <mergeCell ref="U87:U114"/>
    <mergeCell ref="U115:U121"/>
    <mergeCell ref="U122:U125"/>
    <mergeCell ref="U126:U127"/>
    <mergeCell ref="U128:U137"/>
    <mergeCell ref="U63:U66"/>
    <mergeCell ref="U345:U350"/>
    <mergeCell ref="U351:U360"/>
    <mergeCell ref="U141:U150"/>
    <mergeCell ref="U151:U169"/>
    <mergeCell ref="U361:U384"/>
    <mergeCell ref="U385:U476"/>
    <mergeCell ref="U170:U173"/>
    <mergeCell ref="U513:U538"/>
    <mergeCell ref="U539:U545"/>
    <mergeCell ref="U546:U549"/>
    <mergeCell ref="U550:U558"/>
    <mergeCell ref="U1347:U1352"/>
    <mergeCell ref="U1353:U1370"/>
    <mergeCell ref="U1371:U1377"/>
    <mergeCell ref="U1382:U1385"/>
    <mergeCell ref="U1193:U1214"/>
    <mergeCell ref="U1215:U1217"/>
    <mergeCell ref="U1341:U1346"/>
    <mergeCell ref="U1378:U1381"/>
    <mergeCell ref="U1031:U1043"/>
    <mergeCell ref="U1025:U1030"/>
    <mergeCell ref="U1019:U1024"/>
    <mergeCell ref="U1012:U1018"/>
    <mergeCell ref="U1075:U1148"/>
    <mergeCell ref="U1071:U1074"/>
    <mergeCell ref="U1062:U1070"/>
    <mergeCell ref="U1334:U1336"/>
    <mergeCell ref="U1008:U1009"/>
    <mergeCell ref="U1149:U1171"/>
    <mergeCell ref="U1172:U1192"/>
    <mergeCell ref="U174:U179"/>
    <mergeCell ref="U180:U275"/>
    <mergeCell ref="U276:U328"/>
    <mergeCell ref="U329:U332"/>
    <mergeCell ref="U477:U478"/>
    <mergeCell ref="U479:U499"/>
    <mergeCell ref="U500:U506"/>
    <mergeCell ref="U507:U508"/>
    <mergeCell ref="U509:U512"/>
    <mergeCell ref="U1572:U1573"/>
    <mergeCell ref="U1561:U1571"/>
    <mergeCell ref="U1481:U1492"/>
    <mergeCell ref="U1493:U1498"/>
    <mergeCell ref="U1499:U1505"/>
    <mergeCell ref="U1458:U1460"/>
    <mergeCell ref="U1452:U1454"/>
    <mergeCell ref="U1408:U1451"/>
    <mergeCell ref="U1549:U1551"/>
    <mergeCell ref="U1552:U1560"/>
    <mergeCell ref="U1541:U1548"/>
    <mergeCell ref="U1526:U1540"/>
    <mergeCell ref="U1511:U1525"/>
    <mergeCell ref="U1472:U1480"/>
    <mergeCell ref="U1386:U1387"/>
    <mergeCell ref="U1388:U1397"/>
    <mergeCell ref="U1506:U1510"/>
    <mergeCell ref="U1401:U1407"/>
    <mergeCell ref="U1600:U1603"/>
    <mergeCell ref="U1598:U1599"/>
    <mergeCell ref="U1596:U1597"/>
    <mergeCell ref="U559:U693"/>
    <mergeCell ref="U694:U783"/>
    <mergeCell ref="U784:U906"/>
    <mergeCell ref="U907:U1007"/>
    <mergeCell ref="U1282:U1327"/>
    <mergeCell ref="U1589:U1595"/>
    <mergeCell ref="U1583:U1588"/>
    <mergeCell ref="U1398:U1400"/>
    <mergeCell ref="U1054:U1061"/>
    <mergeCell ref="U1044:U1053"/>
    <mergeCell ref="U1337:U1340"/>
    <mergeCell ref="U1010:U1011"/>
    <mergeCell ref="U1218:U1225"/>
    <mergeCell ref="U1226:U1281"/>
    <mergeCell ref="U1461:U1471"/>
    <mergeCell ref="U1455:U1457"/>
    <mergeCell ref="U1328:U1333"/>
    <mergeCell ref="U1798:U1799"/>
    <mergeCell ref="U1800:U1802"/>
    <mergeCell ref="U1950:U1951"/>
    <mergeCell ref="U1722:U1728"/>
    <mergeCell ref="U1680:U1709"/>
    <mergeCell ref="U1574:U1579"/>
    <mergeCell ref="U1672:U1679"/>
    <mergeCell ref="U1729:U1743"/>
    <mergeCell ref="U1744:U1747"/>
    <mergeCell ref="U1803:U1804"/>
    <mergeCell ref="U1805:U1809"/>
    <mergeCell ref="U1810:U1813"/>
    <mergeCell ref="U1774:U1777"/>
    <mergeCell ref="U1786:U1797"/>
    <mergeCell ref="U1756:U1767"/>
    <mergeCell ref="U1768:U1770"/>
    <mergeCell ref="U1778:U1785"/>
    <mergeCell ref="U1771:U1773"/>
    <mergeCell ref="U1748:U1755"/>
    <mergeCell ref="U1710:U1712"/>
    <mergeCell ref="U1713:U1714"/>
    <mergeCell ref="U1715:U1721"/>
    <mergeCell ref="U1580:U1582"/>
    <mergeCell ref="U1604:U1671"/>
    <mergeCell ref="S56:S61"/>
    <mergeCell ref="S64:S65"/>
    <mergeCell ref="S67:S85"/>
    <mergeCell ref="S87:S113"/>
    <mergeCell ref="S115:S120"/>
    <mergeCell ref="S122:S124"/>
    <mergeCell ref="S128:S136"/>
    <mergeCell ref="S138:S139"/>
    <mergeCell ref="A2087:L2087"/>
    <mergeCell ref="S1786:S1796"/>
    <mergeCell ref="S1800:S1801"/>
    <mergeCell ref="S1805:S1808"/>
    <mergeCell ref="S141:S149"/>
    <mergeCell ref="S151:S168"/>
    <mergeCell ref="S170:S172"/>
    <mergeCell ref="S174:S178"/>
    <mergeCell ref="S180:S274"/>
    <mergeCell ref="S276:S327"/>
    <mergeCell ref="S329:S331"/>
    <mergeCell ref="S333:S338"/>
    <mergeCell ref="S340:S343"/>
    <mergeCell ref="S345:S349"/>
    <mergeCell ref="S351:S359"/>
    <mergeCell ref="S361:S383"/>
    <mergeCell ref="S385:S475"/>
    <mergeCell ref="S479:S498"/>
    <mergeCell ref="S500:S505"/>
    <mergeCell ref="S509:S511"/>
    <mergeCell ref="S513:S537"/>
    <mergeCell ref="S539:S544"/>
    <mergeCell ref="S546:S548"/>
    <mergeCell ref="S550:S557"/>
    <mergeCell ref="S559:S692"/>
    <mergeCell ref="S694:S782"/>
    <mergeCell ref="S784:S905"/>
    <mergeCell ref="S907:S1006"/>
    <mergeCell ref="S1012:S1017"/>
    <mergeCell ref="S1019:S1023"/>
    <mergeCell ref="S1025:S1029"/>
    <mergeCell ref="S1193:S1213"/>
    <mergeCell ref="S1215:S1216"/>
    <mergeCell ref="S1218:S1224"/>
    <mergeCell ref="S1226:S1280"/>
    <mergeCell ref="S1282:S1326"/>
    <mergeCell ref="S1328:S1332"/>
    <mergeCell ref="S1334:S1335"/>
    <mergeCell ref="S1337:S1339"/>
    <mergeCell ref="S1031:S1042"/>
    <mergeCell ref="S1044:S1052"/>
    <mergeCell ref="S1054:S1060"/>
    <mergeCell ref="S1062:S1069"/>
    <mergeCell ref="S1071:S1073"/>
    <mergeCell ref="S1075:S1147"/>
    <mergeCell ref="S1149:S1170"/>
    <mergeCell ref="S1172:S1191"/>
    <mergeCell ref="S1341:S1345"/>
    <mergeCell ref="S1347:S1351"/>
    <mergeCell ref="S1353:S1369"/>
    <mergeCell ref="S1371:S1376"/>
    <mergeCell ref="S1378:S1380"/>
    <mergeCell ref="S1382:S1384"/>
    <mergeCell ref="S1388:S1396"/>
    <mergeCell ref="S1398:S1399"/>
    <mergeCell ref="S1401:S1406"/>
    <mergeCell ref="S1408:S1450"/>
    <mergeCell ref="S1452:S1453"/>
    <mergeCell ref="S1455:S1456"/>
    <mergeCell ref="S1458:S1459"/>
    <mergeCell ref="S1461:S1470"/>
    <mergeCell ref="S1472:S1479"/>
    <mergeCell ref="S1481:S1491"/>
    <mergeCell ref="S1493:S1497"/>
    <mergeCell ref="S1499:S1504"/>
    <mergeCell ref="S1583:S1587"/>
    <mergeCell ref="S1589:S1594"/>
    <mergeCell ref="S1600:S1602"/>
    <mergeCell ref="S1604:S1670"/>
    <mergeCell ref="S1672:S1678"/>
    <mergeCell ref="S1680:S1708"/>
    <mergeCell ref="S1710:S1711"/>
    <mergeCell ref="S1715:S1720"/>
    <mergeCell ref="S1506:S1509"/>
    <mergeCell ref="S1511:S1524"/>
    <mergeCell ref="S1526:S1539"/>
    <mergeCell ref="S1541:S1547"/>
    <mergeCell ref="S1549:S1550"/>
    <mergeCell ref="S1552:S1559"/>
    <mergeCell ref="S1561:S1570"/>
    <mergeCell ref="S1574:S1578"/>
    <mergeCell ref="S1580:S1581"/>
    <mergeCell ref="S1722:S1727"/>
    <mergeCell ref="S1729:S1742"/>
    <mergeCell ref="S1744:S1746"/>
    <mergeCell ref="S1748:S1754"/>
    <mergeCell ref="S1756:S1766"/>
    <mergeCell ref="S1768:S1769"/>
    <mergeCell ref="S1771:S1772"/>
    <mergeCell ref="S1774:S1776"/>
    <mergeCell ref="S1778:S1784"/>
    <mergeCell ref="S5:S54"/>
    <mergeCell ref="U2041:U2052"/>
    <mergeCell ref="U1952:U1983"/>
    <mergeCell ref="U1984:U2010"/>
    <mergeCell ref="U2011:U2019"/>
    <mergeCell ref="U2020:U2040"/>
    <mergeCell ref="S1810:S1812"/>
    <mergeCell ref="S1814:S1818"/>
    <mergeCell ref="S1820:S1821"/>
    <mergeCell ref="S1823:S1824"/>
    <mergeCell ref="S1826:S1923"/>
    <mergeCell ref="S1925:S1935"/>
    <mergeCell ref="S1939:S1948"/>
    <mergeCell ref="U1826:U1924"/>
    <mergeCell ref="U1939:U1949"/>
    <mergeCell ref="U1925:U1936"/>
    <mergeCell ref="U1937:U1938"/>
    <mergeCell ref="U1814:U1819"/>
    <mergeCell ref="U1820:U1822"/>
    <mergeCell ref="U1823:U1825"/>
    <mergeCell ref="S1952:S1982"/>
    <mergeCell ref="S1984:S2009"/>
    <mergeCell ref="S2011:S2018"/>
    <mergeCell ref="S2020:S2039"/>
  </mergeCells>
  <conditionalFormatting sqref="A63">
    <cfRule type="duplicateValues" dxfId="5" priority="1"/>
  </conditionalFormatting>
  <conditionalFormatting sqref="C1513:C1515">
    <cfRule type="duplicateValues" dxfId="4" priority="5"/>
    <cfRule type="duplicateValues" dxfId="3" priority="6"/>
  </conditionalFormatting>
  <conditionalFormatting sqref="C1516:C1519">
    <cfRule type="duplicateValues" dxfId="2" priority="3"/>
    <cfRule type="duplicateValues" dxfId="1" priority="4"/>
  </conditionalFormatting>
  <conditionalFormatting sqref="A994:A2086 A64:A992 A5:A62">
    <cfRule type="duplicateValues" dxfId="0" priority="21"/>
  </conditionalFormatting>
  <pageMargins left="0" right="0.19685039370078741" top="0.19685039370078741" bottom="0.19685039370078741" header="0.19685039370078741" footer="0.19685039370078741"/>
  <pageSetup paperSize="8" scale="47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2026-01-21T12:08:30Z</dcterms:modified>
</cp:coreProperties>
</file>